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teph\OneDrive\Bureau\PDF site\redshift\"/>
    </mc:Choice>
  </mc:AlternateContent>
  <xr:revisionPtr revIDLastSave="0" documentId="13_ncr:1_{1101796E-8D05-4C98-8B5E-F8F386A3BFA9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" i="1" l="1"/>
  <c r="D20" i="1"/>
  <c r="D19" i="1"/>
  <c r="Q19" i="1"/>
  <c r="P5" i="1"/>
  <c r="Q26" i="1" l="1"/>
  <c r="Q25" i="1"/>
  <c r="Q24" i="1"/>
  <c r="Q23" i="1"/>
  <c r="Q22" i="1"/>
  <c r="Q21" i="1"/>
  <c r="Q20" i="1"/>
  <c r="Q5" i="1"/>
  <c r="L19" i="1" s="1"/>
  <c r="S19" i="1" s="1"/>
  <c r="P19" i="1" s="1"/>
  <c r="H4" i="1" l="1"/>
  <c r="H5" i="1"/>
  <c r="H7" i="1"/>
  <c r="H8" i="1"/>
  <c r="H9" i="1"/>
  <c r="H10" i="1"/>
  <c r="H11" i="1"/>
  <c r="H12" i="1"/>
  <c r="G20" i="1" l="1"/>
  <c r="M18" i="1"/>
  <c r="N18" i="1" s="1"/>
  <c r="M19" i="1"/>
  <c r="N19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H6" i="1"/>
  <c r="M20" i="1" s="1"/>
  <c r="N20" i="1" s="1"/>
  <c r="P4" i="1" l="1"/>
  <c r="D22" i="1"/>
  <c r="A4" i="1" l="1"/>
  <c r="L18" i="1" l="1"/>
  <c r="G17" i="1"/>
  <c r="G16" i="1" s="1"/>
  <c r="B5" i="1"/>
  <c r="A6" i="1"/>
  <c r="R4" i="1" l="1"/>
  <c r="S4" i="1" s="1"/>
  <c r="B21" i="1"/>
  <c r="O5" i="1" l="1"/>
  <c r="Q18" i="1"/>
  <c r="S18" i="1" s="1"/>
  <c r="P18" i="1" s="1"/>
  <c r="O12" i="1"/>
  <c r="O8" i="1"/>
  <c r="O11" i="1"/>
  <c r="P11" i="1" s="1"/>
  <c r="O7" i="1"/>
  <c r="O10" i="1"/>
  <c r="O6" i="1"/>
  <c r="O9" i="1"/>
  <c r="P9" i="1"/>
  <c r="C5" i="1"/>
  <c r="C3" i="1" s="1"/>
  <c r="A8" i="1" s="1"/>
  <c r="A10" i="1" s="1"/>
  <c r="C7" i="1"/>
  <c r="C10" i="1"/>
  <c r="C6" i="1"/>
  <c r="C9" i="1"/>
  <c r="C11" i="1"/>
  <c r="C12" i="1"/>
  <c r="C8" i="1"/>
  <c r="P6" i="1" l="1"/>
  <c r="P7" i="1"/>
  <c r="P8" i="1"/>
  <c r="P12" i="1"/>
  <c r="P10" i="1"/>
  <c r="B19" i="1"/>
  <c r="D18" i="1"/>
  <c r="E23" i="1" s="1"/>
  <c r="M5" i="1" l="1"/>
  <c r="Q11" i="1"/>
  <c r="L25" i="1" s="1"/>
  <c r="S25" i="1" s="1"/>
  <c r="P25" i="1" s="1"/>
  <c r="Q6" i="1"/>
  <c r="L20" i="1" s="1"/>
  <c r="S20" i="1" s="1"/>
  <c r="P20" i="1" s="1"/>
  <c r="Q7" i="1"/>
  <c r="L21" i="1" s="1"/>
  <c r="S21" i="1" s="1"/>
  <c r="P21" i="1" s="1"/>
  <c r="Q9" i="1"/>
  <c r="L23" i="1" s="1"/>
  <c r="S23" i="1" s="1"/>
  <c r="P23" i="1" s="1"/>
  <c r="Q10" i="1"/>
  <c r="L24" i="1" s="1"/>
  <c r="S24" i="1" s="1"/>
  <c r="P24" i="1" s="1"/>
  <c r="Q12" i="1"/>
  <c r="L26" i="1" s="1"/>
  <c r="S26" i="1" s="1"/>
  <c r="P26" i="1" s="1"/>
  <c r="Q8" i="1"/>
  <c r="L22" i="1" s="1"/>
  <c r="S22" i="1" s="1"/>
  <c r="P22" i="1" s="1"/>
  <c r="M8" i="1" l="1"/>
  <c r="N8" i="1" s="1"/>
  <c r="M9" i="1"/>
  <c r="N9" i="1" s="1"/>
  <c r="M12" i="1"/>
  <c r="N12" i="1" s="1"/>
  <c r="M6" i="1"/>
  <c r="N6" i="1" s="1"/>
  <c r="M10" i="1"/>
  <c r="N10" i="1" s="1"/>
  <c r="M7" i="1"/>
  <c r="N7" i="1" s="1"/>
  <c r="M11" i="1"/>
  <c r="N11" i="1" s="1"/>
  <c r="R8" i="1"/>
  <c r="R12" i="1"/>
  <c r="R9" i="1"/>
  <c r="R6" i="1"/>
  <c r="R10" i="1"/>
  <c r="R7" i="1"/>
  <c r="R11" i="1"/>
  <c r="S6" i="1" l="1"/>
  <c r="S11" i="1"/>
  <c r="S9" i="1"/>
  <c r="S7" i="1"/>
  <c r="S12" i="1"/>
  <c r="S10" i="1"/>
  <c r="S8" i="1"/>
  <c r="T10" i="1" l="1"/>
  <c r="U10" i="1" s="1"/>
  <c r="R24" i="1"/>
  <c r="T11" i="1"/>
  <c r="U11" i="1" s="1"/>
  <c r="R25" i="1"/>
  <c r="T12" i="1"/>
  <c r="U12" i="1" s="1"/>
  <c r="R26" i="1"/>
  <c r="T6" i="1"/>
  <c r="U6" i="1" s="1"/>
  <c r="R20" i="1"/>
  <c r="T7" i="1"/>
  <c r="U7" i="1" s="1"/>
  <c r="R21" i="1"/>
  <c r="T8" i="1"/>
  <c r="U8" i="1" s="1"/>
  <c r="R22" i="1"/>
  <c r="T9" i="1"/>
  <c r="U9" i="1" s="1"/>
  <c r="R23" i="1"/>
  <c r="N5" i="1"/>
  <c r="R5" i="1"/>
  <c r="S5" i="1" s="1"/>
  <c r="R19" i="1" s="1"/>
  <c r="T5" i="1" l="1"/>
  <c r="U5" i="1" s="1"/>
</calcChain>
</file>

<file path=xl/sharedStrings.xml><?xml version="1.0" encoding="utf-8"?>
<sst xmlns="http://schemas.openxmlformats.org/spreadsheetml/2006/main" count="85" uniqueCount="72">
  <si>
    <t xml:space="preserve"> vitesse de la lumière </t>
  </si>
  <si>
    <t>megaparsec</t>
  </si>
  <si>
    <t>longeur planck</t>
  </si>
  <si>
    <t>m/s</t>
  </si>
  <si>
    <t>tracer</t>
  </si>
  <si>
    <t>LRG1</t>
  </si>
  <si>
    <t>z_eff</t>
  </si>
  <si>
    <t>LRG2</t>
  </si>
  <si>
    <t>LRG3,+ELG1</t>
  </si>
  <si>
    <t>ELG2</t>
  </si>
  <si>
    <t>QSO</t>
  </si>
  <si>
    <t>Lyman</t>
  </si>
  <si>
    <t>LRG3</t>
  </si>
  <si>
    <t>ELG1</t>
  </si>
  <si>
    <t>c/(rd)</t>
  </si>
  <si>
    <t>/Mpc/ c =  t(z)</t>
  </si>
  <si>
    <t>H(z) lin</t>
  </si>
  <si>
    <t>H(z)lin</t>
  </si>
  <si>
    <t>H(z) rattrapage ("Catch-Up") -</t>
  </si>
  <si>
    <t>difference (col O - column S)</t>
  </si>
  <si>
    <t xml:space="preserve"> ("Catch-Up")</t>
  </si>
  <si>
    <t>H(z)lin thermo rattrapage</t>
  </si>
  <si>
    <t>tH(0)  de Rh=ct thermo</t>
  </si>
  <si>
    <t>s^-1</t>
  </si>
  <si>
    <t>K</t>
  </si>
  <si>
    <t>meters</t>
  </si>
  <si>
    <t>s</t>
  </si>
  <si>
    <t>température cmb(0)</t>
  </si>
  <si>
    <t xml:space="preserve">Lambda_eff(0) = </t>
  </si>
  <si>
    <t>(RH=DH in the 2 models)</t>
  </si>
  <si>
    <t>1 / t(z) DESI =</t>
  </si>
  <si>
    <t>H(z) DESI</t>
  </si>
  <si>
    <t>km/s/Mpc                             =</t>
  </si>
  <si>
    <t>DH/rd data DESI</t>
  </si>
  <si>
    <t>rd ( DESI + Rh=ct)</t>
  </si>
  <si>
    <t>tracer DESI</t>
  </si>
  <si>
    <t>H(z) DESI  /</t>
  </si>
  <si>
    <t>( H(z) DESI  /  H(z)lin )^2 -1</t>
  </si>
  <si>
    <t xml:space="preserve">  = 𝛿𝑡ℎ𝑒𝑟𝑚𝑖𝑞𝑢𝑒(𝑧)</t>
  </si>
  <si>
    <t xml:space="preserve">Λeff(z) </t>
  </si>
  <si>
    <t>by Stéphane Wojnow</t>
  </si>
  <si>
    <t>https://constantecosmologique.fr/tensions-desi-et-jwst-resolution-par-integration-de-la-temperature-du-cmb-dans-%ce%bbcdm/</t>
  </si>
  <si>
    <t>G</t>
  </si>
  <si>
    <t>DV/rd datas not used</t>
  </si>
  <si>
    <t>calculated with Tp</t>
  </si>
  <si>
    <t>température de Planck (Tp)</t>
  </si>
  <si>
    <t>R_H(z) in DESI</t>
  </si>
  <si>
    <t xml:space="preserve">H obs(z) DESI </t>
  </si>
  <si>
    <t>(1+z)</t>
  </si>
  <si>
    <t>(1+z)^4</t>
  </si>
  <si>
    <t>T(z)</t>
  </si>
  <si>
    <t>m^-2 ( =Λtherm(0) )</t>
  </si>
  <si>
    <t>H(0) DESI =</t>
  </si>
  <si>
    <t>km/s/Mpc</t>
  </si>
  <si>
    <t>paramètre de hubble Hlin(0)</t>
  </si>
  <si>
    <t xml:space="preserve">66,85 / 68,47 = </t>
  </si>
  <si>
    <t>Λ𝑔𝑒𝑜𝑚,𝐷𝐸𝑆𝐼,(𝑧+1)^2</t>
  </si>
  <si>
    <t>z+1</t>
  </si>
  <si>
    <t xml:space="preserve">Λtherm(z+1) </t>
  </si>
  <si>
    <t>DM/rd data DESI</t>
  </si>
  <si>
    <t>DM/rd</t>
  </si>
  <si>
    <t>DM fid</t>
  </si>
  <si>
    <t>Table IV</t>
  </si>
  <si>
    <t xml:space="preserve"> page 14</t>
  </si>
  <si>
    <t>DM/DH data DESI</t>
  </si>
  <si>
    <t>masse planck</t>
  </si>
  <si>
    <t>temps de planck</t>
  </si>
  <si>
    <t xml:space="preserve">Λgeom,lin(z) </t>
  </si>
  <si>
    <t>( 𝛿𝑡ℎ𝑒𝑟𝑚(𝑧)+1) with Λ</t>
  </si>
  <si>
    <t xml:space="preserve"> ( 𝛿𝑡ℎ𝑒𝑟𝑚(𝑧)+1) with H^2</t>
  </si>
  <si>
    <t>= Eq.11 with Λ</t>
  </si>
  <si>
    <t>https://www.researchgate.net/publication/401471579_Thermodynamic_Cosmology_Rh_ct_Evolution_of_Leff_and_Resolution_of_DESI_Tension_and_JWST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</si>
</sst>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.000000000000E+000"/>
    <numFmt numFmtId="165" formatCode="0.000000000E+000"/>
    <numFmt numFmtId="166" formatCode="0.00000"/>
    <numFmt numFmtId="167" formatCode="0.000000000000"/>
    <numFmt numFmtId="168" formatCode="0.000000000E+00"/>
    <numFmt numFmtId="169" formatCode="0.0000E+00"/>
    <numFmt numFmtId="170" formatCode="0.000"/>
    <numFmt numFmtId="171" formatCode="0.0000000000000E+00"/>
    <numFmt numFmtId="172" formatCode="0.00000E+00"/>
    <numFmt numFmtId="173" formatCode="0.0000"/>
    <numFmt numFmtId="174" formatCode="0.00000000E+00"/>
    <numFmt numFmtId="175" formatCode="0.0000000E+00"/>
    <numFmt numFmtId="176" formatCode="0.000000E+00"/>
    <numFmt numFmtId="177" formatCode="0.0000%"/>
    <numFmt numFmtId="178" formatCode="0.000E+00"/>
  </numFmts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Courier New"/>
      <family val="3"/>
    </font>
    <font>
      <u/>
      <sz val="10"/>
      <color rgb="FF0000FF"/>
      <name val="Times New Roman"/>
      <family val="1"/>
    </font>
    <font>
      <sz val="10"/>
      <color rgb="FF000000"/>
      <name val="Arial"/>
      <family val="2"/>
      <scheme val="minor"/>
    </font>
    <font>
      <sz val="11"/>
      <color rgb="FF000000"/>
      <name val="Aptos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2" fontId="2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7" fontId="2" fillId="0" borderId="0" xfId="0" applyNumberFormat="1" applyFont="1"/>
    <xf numFmtId="0" fontId="5" fillId="0" borderId="0" xfId="0" applyFont="1"/>
    <xf numFmtId="165" fontId="0" fillId="0" borderId="0" xfId="0" applyNumberFormat="1"/>
    <xf numFmtId="168" fontId="0" fillId="0" borderId="0" xfId="0" applyNumberFormat="1"/>
    <xf numFmtId="169" fontId="0" fillId="0" borderId="0" xfId="0" applyNumberFormat="1"/>
    <xf numFmtId="165" fontId="5" fillId="0" borderId="0" xfId="0" applyNumberFormat="1" applyFont="1"/>
    <xf numFmtId="0" fontId="5" fillId="0" borderId="0" xfId="0" applyFont="1" applyAlignment="1">
      <alignment horizontal="center"/>
    </xf>
    <xf numFmtId="170" fontId="2" fillId="0" borderId="0" xfId="0" applyNumberFormat="1" applyFont="1"/>
    <xf numFmtId="172" fontId="0" fillId="0" borderId="0" xfId="0" applyNumberFormat="1"/>
    <xf numFmtId="2" fontId="0" fillId="0" borderId="0" xfId="0" applyNumberFormat="1"/>
    <xf numFmtId="170" fontId="0" fillId="0" borderId="0" xfId="0" applyNumberForma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3" fontId="0" fillId="0" borderId="0" xfId="0" applyNumberFormat="1"/>
    <xf numFmtId="169" fontId="5" fillId="0" borderId="0" xfId="0" applyNumberFormat="1" applyFont="1"/>
    <xf numFmtId="0" fontId="0" fillId="3" borderId="0" xfId="0" applyFill="1"/>
    <xf numFmtId="165" fontId="0" fillId="3" borderId="0" xfId="0" applyNumberFormat="1" applyFill="1"/>
    <xf numFmtId="0" fontId="5" fillId="4" borderId="0" xfId="0" applyFont="1" applyFill="1" applyAlignment="1">
      <alignment horizontal="center"/>
    </xf>
    <xf numFmtId="174" fontId="0" fillId="0" borderId="0" xfId="0" applyNumberFormat="1"/>
    <xf numFmtId="172" fontId="5" fillId="0" borderId="0" xfId="0" applyNumberFormat="1" applyFont="1"/>
    <xf numFmtId="0" fontId="5" fillId="5" borderId="0" xfId="0" applyFont="1" applyFill="1" applyAlignment="1">
      <alignment horizontal="center"/>
    </xf>
    <xf numFmtId="172" fontId="0" fillId="6" borderId="0" xfId="0" applyNumberFormat="1" applyFill="1"/>
    <xf numFmtId="169" fontId="0" fillId="6" borderId="0" xfId="0" applyNumberFormat="1" applyFill="1"/>
    <xf numFmtId="0" fontId="5" fillId="7" borderId="0" xfId="0" applyFont="1" applyFill="1" applyAlignment="1">
      <alignment horizontal="center"/>
    </xf>
    <xf numFmtId="0" fontId="5" fillId="5" borderId="0" xfId="0" applyFont="1" applyFill="1"/>
    <xf numFmtId="0" fontId="7" fillId="7" borderId="0" xfId="1" applyFill="1"/>
    <xf numFmtId="165" fontId="0" fillId="8" borderId="0" xfId="0" applyNumberFormat="1" applyFill="1"/>
    <xf numFmtId="0" fontId="8" fillId="7" borderId="0" xfId="0" applyFont="1" applyFill="1" applyAlignment="1">
      <alignment horizontal="center"/>
    </xf>
    <xf numFmtId="168" fontId="1" fillId="0" borderId="0" xfId="0" applyNumberFormat="1" applyFont="1"/>
    <xf numFmtId="11" fontId="0" fillId="4" borderId="0" xfId="0" applyNumberFormat="1" applyFill="1"/>
    <xf numFmtId="0" fontId="1" fillId="8" borderId="0" xfId="0" applyFont="1" applyFill="1"/>
    <xf numFmtId="0" fontId="6" fillId="5" borderId="3" xfId="0" applyFont="1" applyFill="1" applyBorder="1" applyAlignment="1">
      <alignment horizontal="center" vertical="center"/>
    </xf>
    <xf numFmtId="10" fontId="0" fillId="0" borderId="0" xfId="0" applyNumberFormat="1"/>
    <xf numFmtId="170" fontId="5" fillId="0" borderId="0" xfId="0" applyNumberFormat="1" applyFont="1"/>
    <xf numFmtId="166" fontId="0" fillId="0" borderId="0" xfId="0" applyNumberFormat="1"/>
    <xf numFmtId="175" fontId="0" fillId="0" borderId="0" xfId="0" applyNumberFormat="1"/>
    <xf numFmtId="168" fontId="0" fillId="8" borderId="0" xfId="0" applyNumberFormat="1" applyFill="1"/>
    <xf numFmtId="176" fontId="0" fillId="0" borderId="0" xfId="0" applyNumberFormat="1"/>
    <xf numFmtId="177" fontId="0" fillId="0" borderId="0" xfId="0" applyNumberFormat="1"/>
    <xf numFmtId="10" fontId="5" fillId="0" borderId="0" xfId="0" applyNumberFormat="1" applyFont="1"/>
    <xf numFmtId="168" fontId="0" fillId="0" borderId="0" xfId="0" applyNumberFormat="1" applyAlignment="1">
      <alignment horizontal="left"/>
    </xf>
    <xf numFmtId="0" fontId="5" fillId="7" borderId="0" xfId="0" applyFont="1" applyFill="1" applyAlignment="1">
      <alignment horizontal="right"/>
    </xf>
    <xf numFmtId="0" fontId="6" fillId="0" borderId="1" xfId="0" applyFont="1" applyBorder="1" applyAlignment="1">
      <alignment horizontal="center" vertical="center"/>
    </xf>
    <xf numFmtId="165" fontId="0" fillId="7" borderId="0" xfId="0" applyNumberFormat="1" applyFill="1" applyAlignment="1">
      <alignment horizontal="center"/>
    </xf>
    <xf numFmtId="178" fontId="0" fillId="0" borderId="0" xfId="0" applyNumberFormat="1"/>
    <xf numFmtId="0" fontId="6" fillId="3" borderId="3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/>
    </xf>
    <xf numFmtId="165" fontId="0" fillId="5" borderId="0" xfId="0" applyNumberFormat="1" applyFill="1"/>
    <xf numFmtId="0" fontId="5" fillId="9" borderId="0" xfId="0" applyFont="1" applyFill="1" applyAlignment="1">
      <alignment horizontal="right"/>
    </xf>
    <xf numFmtId="165" fontId="0" fillId="9" borderId="0" xfId="0" applyNumberFormat="1" applyFill="1"/>
    <xf numFmtId="0" fontId="6" fillId="9" borderId="3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right" vertical="center"/>
    </xf>
    <xf numFmtId="0" fontId="5" fillId="9" borderId="0" xfId="0" applyFont="1" applyFill="1" applyAlignment="1">
      <alignment horizontal="center"/>
    </xf>
    <xf numFmtId="0" fontId="5" fillId="9" borderId="0" xfId="0" applyFont="1" applyFill="1" applyAlignment="1">
      <alignment vertical="center"/>
    </xf>
    <xf numFmtId="11" fontId="0" fillId="0" borderId="0" xfId="0" applyNumberFormat="1"/>
    <xf numFmtId="0" fontId="0" fillId="0" borderId="4" xfId="0" applyBorder="1"/>
    <xf numFmtId="171" fontId="0" fillId="0" borderId="5" xfId="0" applyNumberFormat="1" applyBorder="1"/>
    <xf numFmtId="168" fontId="0" fillId="0" borderId="5" xfId="0" applyNumberFormat="1" applyBorder="1"/>
    <xf numFmtId="173" fontId="0" fillId="0" borderId="5" xfId="0" applyNumberFormat="1" applyBorder="1"/>
    <xf numFmtId="0" fontId="0" fillId="0" borderId="5" xfId="0" applyBorder="1"/>
    <xf numFmtId="175" fontId="0" fillId="0" borderId="5" xfId="0" applyNumberFormat="1" applyBorder="1" applyAlignment="1">
      <alignment horizontal="right"/>
    </xf>
    <xf numFmtId="174" fontId="5" fillId="0" borderId="5" xfId="0" applyNumberFormat="1" applyFont="1" applyBorder="1"/>
    <xf numFmtId="0" fontId="0" fillId="0" borderId="6" xfId="0" applyBorder="1"/>
    <xf numFmtId="2" fontId="5" fillId="0" borderId="7" xfId="0" applyNumberFormat="1" applyFont="1" applyBorder="1" applyAlignment="1">
      <alignment horizontal="center"/>
    </xf>
    <xf numFmtId="172" fontId="5" fillId="7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75" fontId="5" fillId="0" borderId="1" xfId="0" applyNumberFormat="1" applyFont="1" applyBorder="1" applyAlignment="1">
      <alignment horizontal="center"/>
    </xf>
    <xf numFmtId="49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2" fontId="0" fillId="0" borderId="7" xfId="0" applyNumberFormat="1" applyBorder="1"/>
    <xf numFmtId="0" fontId="0" fillId="0" borderId="1" xfId="0" applyBorder="1"/>
    <xf numFmtId="166" fontId="0" fillId="0" borderId="1" xfId="0" applyNumberFormat="1" applyBorder="1"/>
    <xf numFmtId="169" fontId="8" fillId="10" borderId="1" xfId="0" applyNumberFormat="1" applyFont="1" applyFill="1" applyBorder="1"/>
    <xf numFmtId="175" fontId="0" fillId="0" borderId="1" xfId="0" applyNumberFormat="1" applyBorder="1" applyAlignment="1">
      <alignment horizontal="right"/>
    </xf>
    <xf numFmtId="172" fontId="0" fillId="0" borderId="1" xfId="0" applyNumberFormat="1" applyBorder="1"/>
    <xf numFmtId="175" fontId="0" fillId="0" borderId="1" xfId="0" applyNumberFormat="1" applyBorder="1"/>
    <xf numFmtId="175" fontId="0" fillId="0" borderId="8" xfId="0" applyNumberFormat="1" applyBorder="1"/>
    <xf numFmtId="169" fontId="0" fillId="0" borderId="1" xfId="0" applyNumberFormat="1" applyBorder="1"/>
    <xf numFmtId="172" fontId="0" fillId="10" borderId="1" xfId="0" applyNumberFormat="1" applyFill="1" applyBorder="1"/>
    <xf numFmtId="176" fontId="0" fillId="0" borderId="1" xfId="0" applyNumberFormat="1" applyBorder="1"/>
    <xf numFmtId="172" fontId="0" fillId="0" borderId="8" xfId="0" applyNumberFormat="1" applyBorder="1"/>
    <xf numFmtId="169" fontId="0" fillId="0" borderId="1" xfId="0" applyNumberFormat="1" applyBorder="1" applyAlignment="1">
      <alignment horizontal="right"/>
    </xf>
    <xf numFmtId="169" fontId="5" fillId="0" borderId="1" xfId="0" applyNumberFormat="1" applyFont="1" applyBorder="1" applyAlignment="1">
      <alignment horizontal="right"/>
    </xf>
    <xf numFmtId="2" fontId="0" fillId="0" borderId="9" xfId="0" applyNumberFormat="1" applyBorder="1"/>
    <xf numFmtId="0" fontId="0" fillId="0" borderId="10" xfId="0" applyBorder="1"/>
    <xf numFmtId="166" fontId="0" fillId="0" borderId="10" xfId="0" applyNumberFormat="1" applyBorder="1"/>
    <xf numFmtId="169" fontId="0" fillId="0" borderId="10" xfId="0" applyNumberFormat="1" applyBorder="1" applyAlignment="1">
      <alignment horizontal="right"/>
    </xf>
    <xf numFmtId="0" fontId="0" fillId="10" borderId="10" xfId="0" applyFill="1" applyBorder="1"/>
    <xf numFmtId="0" fontId="0" fillId="0" borderId="11" xfId="0" applyBorder="1"/>
    <xf numFmtId="169" fontId="6" fillId="0" borderId="12" xfId="0" applyNumberFormat="1" applyFont="1" applyBorder="1" applyAlignment="1">
      <alignment horizontal="center" vertical="center"/>
    </xf>
    <xf numFmtId="172" fontId="7" fillId="0" borderId="13" xfId="1" applyNumberFormat="1" applyBorder="1"/>
    <xf numFmtId="170" fontId="0" fillId="0" borderId="13" xfId="0" applyNumberFormat="1" applyBorder="1"/>
    <xf numFmtId="173" fontId="0" fillId="0" borderId="13" xfId="0" applyNumberFormat="1" applyBorder="1"/>
    <xf numFmtId="174" fontId="0" fillId="0" borderId="13" xfId="0" applyNumberFormat="1" applyBorder="1"/>
    <xf numFmtId="175" fontId="0" fillId="0" borderId="13" xfId="0" applyNumberFormat="1" applyBorder="1" applyAlignment="1">
      <alignment horizontal="right"/>
    </xf>
    <xf numFmtId="174" fontId="5" fillId="0" borderId="13" xfId="0" applyNumberFormat="1" applyFont="1" applyBorder="1" applyAlignment="1">
      <alignment horizontal="right"/>
    </xf>
    <xf numFmtId="174" fontId="0" fillId="0" borderId="14" xfId="0" applyNumberFormat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searchgate.net/publication/401471579_Thermodynamic_Cosmology_Rh_ct_Evolution_of_Leff_and_Resolution_of_DESI_Tension_and_JWST" TargetMode="External"/><Relationship Id="rId2" Type="http://schemas.openxmlformats.org/officeDocument/2006/relationships/hyperlink" Target="https://constantecosmologique.fr/tensions-desi-et-jwst-resolution-par-integration-de-la-temperature-du-cmb-dans-%ce%bbcdm/" TargetMode="External"/><Relationship Id="rId1" Type="http://schemas.openxmlformats.org/officeDocument/2006/relationships/hyperlink" Target="http://fr.wikipedia.org/wiki/Vitesse_de_la_lumi%C3%A8r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17"/>
  <sheetViews>
    <sheetView tabSelected="1" topLeftCell="C3" zoomScale="80" zoomScaleNormal="80" workbookViewId="0">
      <selection activeCell="D19" sqref="D19"/>
    </sheetView>
  </sheetViews>
  <sheetFormatPr baseColWidth="10" defaultColWidth="12.5703125" defaultRowHeight="15" customHeight="1" x14ac:dyDescent="0.2"/>
  <cols>
    <col min="1" max="1" width="44" customWidth="1"/>
    <col min="2" max="3" width="28.28515625" customWidth="1"/>
    <col min="4" max="4" width="16" customWidth="1"/>
    <col min="5" max="5" width="17.42578125" customWidth="1"/>
    <col min="6" max="6" width="16.7109375" customWidth="1"/>
    <col min="7" max="7" width="20.42578125" customWidth="1"/>
    <col min="8" max="10" width="15.28515625" customWidth="1"/>
    <col min="11" max="11" width="18.85546875" customWidth="1"/>
    <col min="12" max="12" width="15" customWidth="1"/>
    <col min="13" max="13" width="14" customWidth="1"/>
    <col min="14" max="14" width="16" customWidth="1"/>
    <col min="15" max="20" width="22.28515625" customWidth="1"/>
    <col min="21" max="21" width="20" customWidth="1"/>
    <col min="22" max="22" width="22.5703125" customWidth="1"/>
    <col min="23" max="23" width="13.42578125" customWidth="1"/>
    <col min="24" max="24" width="25.42578125" customWidth="1"/>
    <col min="25" max="25" width="23.28515625" customWidth="1"/>
    <col min="26" max="26" width="25.28515625" customWidth="1"/>
    <col min="27" max="27" width="14.85546875" customWidth="1"/>
    <col min="28" max="28" width="10.85546875" customWidth="1"/>
    <col min="29" max="29" width="24.42578125" customWidth="1"/>
    <col min="30" max="32" width="8" customWidth="1"/>
  </cols>
  <sheetData>
    <row r="1" spans="1:29" ht="15" customHeight="1" x14ac:dyDescent="0.2">
      <c r="O1" s="35" t="s">
        <v>29</v>
      </c>
    </row>
    <row r="2" spans="1:29" ht="15" customHeight="1" x14ac:dyDescent="0.2">
      <c r="M2" s="15"/>
      <c r="N2" s="15"/>
      <c r="O2" s="38" t="s">
        <v>46</v>
      </c>
      <c r="P2" s="31" t="s">
        <v>30</v>
      </c>
      <c r="R2" s="15" t="s">
        <v>36</v>
      </c>
      <c r="S2" s="34" t="s">
        <v>37</v>
      </c>
      <c r="U2" s="28" t="s">
        <v>19</v>
      </c>
    </row>
    <row r="3" spans="1:29" ht="15" customHeight="1" x14ac:dyDescent="0.2">
      <c r="C3" s="17">
        <f>1/C5</f>
        <v>1.5135433752365672E+16</v>
      </c>
      <c r="F3" s="20" t="s">
        <v>6</v>
      </c>
      <c r="G3" s="10"/>
      <c r="H3" s="15" t="s">
        <v>48</v>
      </c>
      <c r="I3" s="63"/>
      <c r="J3" s="62" t="s">
        <v>62</v>
      </c>
      <c r="K3" s="64" t="s">
        <v>63</v>
      </c>
      <c r="M3" s="15" t="s">
        <v>39</v>
      </c>
      <c r="N3" s="15" t="s">
        <v>49</v>
      </c>
      <c r="O3" s="34" t="s">
        <v>15</v>
      </c>
      <c r="P3" s="31" t="s">
        <v>47</v>
      </c>
      <c r="Q3" s="15" t="s">
        <v>16</v>
      </c>
      <c r="R3" s="15" t="s">
        <v>17</v>
      </c>
      <c r="S3" s="34" t="s">
        <v>38</v>
      </c>
      <c r="T3" s="31" t="s">
        <v>21</v>
      </c>
      <c r="U3" s="28" t="s">
        <v>18</v>
      </c>
    </row>
    <row r="4" spans="1:29" ht="15" customHeight="1" thickBot="1" x14ac:dyDescent="0.25">
      <c r="A4">
        <f>F10*A5</f>
        <v>342.62650000000002</v>
      </c>
      <c r="B4" s="15" t="s">
        <v>34</v>
      </c>
      <c r="C4" s="15" t="s">
        <v>14</v>
      </c>
      <c r="E4" s="10" t="s">
        <v>35</v>
      </c>
      <c r="F4">
        <v>0</v>
      </c>
      <c r="G4" s="15" t="s">
        <v>43</v>
      </c>
      <c r="H4">
        <f t="shared" ref="H4:H12" si="0">1+F4</f>
        <v>1</v>
      </c>
      <c r="I4" s="15" t="s">
        <v>59</v>
      </c>
      <c r="J4" s="15" t="s">
        <v>64</v>
      </c>
      <c r="K4" s="15" t="s">
        <v>33</v>
      </c>
      <c r="O4" s="17"/>
      <c r="P4" s="17">
        <f>G20</f>
        <v>2.2082670059124289E-18</v>
      </c>
      <c r="Q4">
        <f>D19</f>
        <v>2.1664680098419425E-18</v>
      </c>
      <c r="R4" s="24">
        <f>P4/Q4</f>
        <v>1.0192936133285142</v>
      </c>
      <c r="S4" s="24">
        <f>R4^2 -1</f>
        <v>3.8959470172298616E-2</v>
      </c>
      <c r="T4" s="31" t="s">
        <v>20</v>
      </c>
      <c r="U4" s="28" t="s">
        <v>31</v>
      </c>
      <c r="V4" s="15" t="s">
        <v>6</v>
      </c>
      <c r="W4" s="10" t="s">
        <v>4</v>
      </c>
    </row>
    <row r="5" spans="1:29" ht="15" customHeight="1" thickBot="1" x14ac:dyDescent="0.25">
      <c r="A5" s="18">
        <v>147.05000000000001</v>
      </c>
      <c r="B5" s="11">
        <f>147.05*B24</f>
        <v>4.5374888875178683E+24</v>
      </c>
      <c r="C5" s="17">
        <f t="shared" ref="C5:C12" si="1">B$21/(A$6)</f>
        <v>6.6070125003434389E-17</v>
      </c>
      <c r="E5" t="s">
        <v>5</v>
      </c>
      <c r="F5">
        <v>0.51</v>
      </c>
      <c r="G5" s="19">
        <v>12.72</v>
      </c>
      <c r="H5" s="24">
        <f t="shared" si="0"/>
        <v>1.51</v>
      </c>
      <c r="I5" s="22">
        <v>13.587999999999999</v>
      </c>
      <c r="J5" s="22">
        <v>0.622</v>
      </c>
      <c r="K5" s="22">
        <v>21.863</v>
      </c>
      <c r="M5" s="17">
        <f>Q5^2*3/B$21^2</f>
        <v>3.5722208802031664E-52</v>
      </c>
      <c r="N5" s="19">
        <f t="shared" ref="N5:N12" si="2">(M5/E$23)^2</f>
        <v>5.1988560099999983</v>
      </c>
      <c r="O5" s="29">
        <f>K5*A$5*B$24/B$21</f>
        <v>3.3090598812797069E+17</v>
      </c>
      <c r="P5" s="32">
        <f>1/O5</f>
        <v>3.022006357930494E-18</v>
      </c>
      <c r="Q5">
        <f>D$19*(H5)</f>
        <v>3.2713666948613331E-18</v>
      </c>
      <c r="R5" s="24">
        <f>P5/Q5</f>
        <v>0.92377487448211337</v>
      </c>
      <c r="S5" s="43">
        <f>R5^2 -1</f>
        <v>-0.14663998127555566</v>
      </c>
      <c r="T5" s="33">
        <f>Q5*(1+S5)^0.5</f>
        <v>3.022006357930494E-18</v>
      </c>
      <c r="U5" s="40">
        <f>T5-P5</f>
        <v>0</v>
      </c>
      <c r="V5" s="21">
        <v>0.51</v>
      </c>
      <c r="W5" t="s">
        <v>5</v>
      </c>
      <c r="X5" s="17"/>
    </row>
    <row r="6" spans="1:29" ht="15" customHeight="1" thickBot="1" x14ac:dyDescent="0.25">
      <c r="A6" s="11">
        <f>A5*B24</f>
        <v>4.5374888875178683E+24</v>
      </c>
      <c r="B6">
        <v>4.5374888875178683E+24</v>
      </c>
      <c r="C6" s="30">
        <f t="shared" si="1"/>
        <v>6.6070125003434389E-17</v>
      </c>
      <c r="E6" s="10" t="s">
        <v>7</v>
      </c>
      <c r="F6" s="10">
        <v>0.70599999999999996</v>
      </c>
      <c r="G6" s="19">
        <v>16.05</v>
      </c>
      <c r="H6" s="24">
        <f t="shared" si="0"/>
        <v>1.706</v>
      </c>
      <c r="I6" s="23">
        <v>17.350999999999999</v>
      </c>
      <c r="J6" s="23">
        <v>0.89200000000000002</v>
      </c>
      <c r="K6" s="61">
        <v>19.454999999999998</v>
      </c>
      <c r="M6" s="17">
        <f>Q6^2*3/B$21^2</f>
        <v>4.5597650321016556E-52</v>
      </c>
      <c r="N6" s="19">
        <f t="shared" si="2"/>
        <v>8.4706377100960015</v>
      </c>
      <c r="O6" s="29">
        <f t="shared" ref="O6:O12" si="3">K6*A$5*B$24/B$21</f>
        <v>2.9445986365227411E+17</v>
      </c>
      <c r="P6" s="32">
        <f>1/O6</f>
        <v>3.3960485738079877E-18</v>
      </c>
      <c r="Q6">
        <f>D$19*(1+F6)</f>
        <v>3.6959944247903539E-18</v>
      </c>
      <c r="R6" s="24">
        <f t="shared" ref="R6:R12" si="4">P6/Q6</f>
        <v>0.91884569712266817</v>
      </c>
      <c r="S6" s="43">
        <f t="shared" ref="S6:S12" si="5">R6^2 -1</f>
        <v>-0.15572258487915791</v>
      </c>
      <c r="T6" s="33">
        <f t="shared" ref="T6:T12" si="6">Q6*(1+S6)^0.5</f>
        <v>3.3960485738079877E-18</v>
      </c>
      <c r="U6" s="40">
        <f>T6-P6</f>
        <v>0</v>
      </c>
      <c r="V6" s="15">
        <v>0.70599999999999996</v>
      </c>
      <c r="W6" s="10" t="s">
        <v>7</v>
      </c>
    </row>
    <row r="7" spans="1:29" ht="15" customHeight="1" thickBot="1" x14ac:dyDescent="0.25">
      <c r="A7" s="57" t="s">
        <v>61</v>
      </c>
      <c r="B7">
        <v>4.5374888875178683E+24</v>
      </c>
      <c r="C7" s="17">
        <f t="shared" si="1"/>
        <v>6.6070125003434389E-17</v>
      </c>
      <c r="E7" t="s">
        <v>8</v>
      </c>
      <c r="F7">
        <v>0.93400000000000005</v>
      </c>
      <c r="G7" s="19">
        <v>19.721</v>
      </c>
      <c r="H7" s="24">
        <f t="shared" si="0"/>
        <v>1.9340000000000002</v>
      </c>
      <c r="I7" s="23">
        <v>21.576000000000001</v>
      </c>
      <c r="J7" s="23">
        <v>1.2230000000000001</v>
      </c>
      <c r="K7" s="23">
        <v>17.640999999999998</v>
      </c>
      <c r="M7" s="17">
        <f>Q7^2*3/B$21^2</f>
        <v>5.8599964048038238E-52</v>
      </c>
      <c r="N7" s="19">
        <f t="shared" si="2"/>
        <v>13.990263006736004</v>
      </c>
      <c r="O7" s="29">
        <f t="shared" si="3"/>
        <v>2.6700418682548285E+17</v>
      </c>
      <c r="P7" s="32">
        <f>1/O7</f>
        <v>3.7452596226650637E-18</v>
      </c>
      <c r="Q7">
        <f>D$19*(1+F7)</f>
        <v>4.1899491310343172E-18</v>
      </c>
      <c r="R7" s="24">
        <f t="shared" si="4"/>
        <v>0.89386756391014255</v>
      </c>
      <c r="S7" s="43">
        <f t="shared" si="5"/>
        <v>-0.20100077818934725</v>
      </c>
      <c r="T7" s="33">
        <f t="shared" si="6"/>
        <v>3.7452596226650637E-18</v>
      </c>
      <c r="U7" s="40">
        <f t="shared" ref="U7:U12" si="7">T7-P7</f>
        <v>0</v>
      </c>
      <c r="V7" s="21">
        <v>0.93400000000000005</v>
      </c>
      <c r="W7" t="s">
        <v>8</v>
      </c>
    </row>
    <row r="8" spans="1:29" ht="15" customHeight="1" thickBot="1" x14ac:dyDescent="0.25">
      <c r="A8" s="58">
        <f>0.5*B21^3/B23*C3</f>
        <v>3.055070671169595E+51</v>
      </c>
      <c r="B8">
        <v>4.5374888875178683E+24</v>
      </c>
      <c r="C8" s="17">
        <f t="shared" si="1"/>
        <v>6.6070125003434389E-17</v>
      </c>
      <c r="E8" t="s">
        <v>9</v>
      </c>
      <c r="F8" s="10">
        <v>1.321</v>
      </c>
      <c r="G8" s="10">
        <v>24.251999999999999</v>
      </c>
      <c r="H8" s="24">
        <f t="shared" si="0"/>
        <v>2.3209999999999997</v>
      </c>
      <c r="I8" s="23">
        <v>27.600999999999999</v>
      </c>
      <c r="J8" s="23">
        <v>1.948</v>
      </c>
      <c r="K8" s="23">
        <v>14.176</v>
      </c>
      <c r="M8" s="17">
        <f>Q8^2*3/B$21^2</f>
        <v>8.4398492797291965E-52</v>
      </c>
      <c r="N8" s="19">
        <f t="shared" si="2"/>
        <v>29.02021073568098</v>
      </c>
      <c r="O8" s="29">
        <f t="shared" si="3"/>
        <v>2.1455990887353578E+17</v>
      </c>
      <c r="P8" s="32">
        <f>1/O8</f>
        <v>4.6607029488878656E-18</v>
      </c>
      <c r="Q8">
        <f>D$19*(1+F8)</f>
        <v>5.0283722508431477E-18</v>
      </c>
      <c r="R8" s="24">
        <f t="shared" si="4"/>
        <v>0.92688104945022076</v>
      </c>
      <c r="S8" s="43">
        <f t="shared" si="5"/>
        <v>-0.14089152017005746</v>
      </c>
      <c r="T8" s="33">
        <f t="shared" si="6"/>
        <v>4.6607029488878656E-18</v>
      </c>
      <c r="U8" s="40">
        <f t="shared" si="7"/>
        <v>0</v>
      </c>
      <c r="V8" s="15">
        <v>1.321</v>
      </c>
      <c r="W8" t="s">
        <v>9</v>
      </c>
    </row>
    <row r="9" spans="1:29" ht="15" customHeight="1" thickBot="1" x14ac:dyDescent="0.25">
      <c r="A9" s="59" t="s">
        <v>60</v>
      </c>
      <c r="B9">
        <v>4.5374888875178683E+24</v>
      </c>
      <c r="C9" s="17">
        <f t="shared" si="1"/>
        <v>6.6070125003434389E-17</v>
      </c>
      <c r="E9" t="s">
        <v>10</v>
      </c>
      <c r="F9" s="10">
        <v>1.484</v>
      </c>
      <c r="G9" s="10">
        <v>26.055</v>
      </c>
      <c r="H9" s="24">
        <f t="shared" si="0"/>
        <v>2.484</v>
      </c>
      <c r="I9" s="23">
        <v>30.512</v>
      </c>
      <c r="J9" s="23">
        <v>2.3860000000000001</v>
      </c>
      <c r="K9" s="23">
        <v>12.817</v>
      </c>
      <c r="M9" s="17">
        <f>Q9^2*3/B$21^2</f>
        <v>9.6669081704306273E-52</v>
      </c>
      <c r="N9" s="19">
        <f t="shared" si="2"/>
        <v>38.072059105535999</v>
      </c>
      <c r="O9" s="29">
        <f t="shared" si="3"/>
        <v>1.9399085440407082E+17</v>
      </c>
      <c r="P9" s="32">
        <f>1/O9</f>
        <v>5.1548821879873908E-18</v>
      </c>
      <c r="Q9">
        <f>D$19*(1+F9)</f>
        <v>5.3815065364473854E-18</v>
      </c>
      <c r="R9" s="24">
        <f t="shared" si="4"/>
        <v>0.95788830749807075</v>
      </c>
      <c r="S9" s="43">
        <f>R9^2 -1</f>
        <v>-8.244999035848144E-2</v>
      </c>
      <c r="T9" s="33">
        <f t="shared" si="6"/>
        <v>5.1548821879873908E-18</v>
      </c>
      <c r="U9" s="40">
        <f t="shared" si="7"/>
        <v>0</v>
      </c>
      <c r="V9" s="15">
        <v>1.484</v>
      </c>
      <c r="W9" t="s">
        <v>10</v>
      </c>
    </row>
    <row r="10" spans="1:29" ht="15" customHeight="1" thickBot="1" x14ac:dyDescent="0.25">
      <c r="A10" s="60">
        <f>A8/B9</f>
        <v>6.7329546075005436E+26</v>
      </c>
      <c r="B10">
        <v>4.5374888875178683E+24</v>
      </c>
      <c r="C10" s="17">
        <f t="shared" si="1"/>
        <v>6.6070125003434389E-17</v>
      </c>
      <c r="E10" t="s">
        <v>11</v>
      </c>
      <c r="F10" s="10">
        <v>2.33</v>
      </c>
      <c r="G10" s="10">
        <v>31.266999999999999</v>
      </c>
      <c r="H10" s="24">
        <f t="shared" si="0"/>
        <v>3.33</v>
      </c>
      <c r="I10" s="56">
        <v>38.988</v>
      </c>
      <c r="J10" s="56">
        <v>4.5179999999999998</v>
      </c>
      <c r="K10" s="42">
        <v>8.6319999999999997</v>
      </c>
      <c r="M10" s="17">
        <f>Q10^2*3/B$21^2</f>
        <v>1.7372922292217399E-51</v>
      </c>
      <c r="N10" s="19">
        <f t="shared" si="2"/>
        <v>122.96370320999998</v>
      </c>
      <c r="O10" s="29">
        <f t="shared" si="3"/>
        <v>1.3064906415042048E+17</v>
      </c>
      <c r="P10" s="32">
        <f>1/O10</f>
        <v>7.6540923312597771E-18</v>
      </c>
      <c r="Q10">
        <f>D$19*(1+F10)</f>
        <v>7.2143384727736683E-18</v>
      </c>
      <c r="R10" s="24">
        <f>P10/Q10</f>
        <v>1.0609555346128692</v>
      </c>
      <c r="S10" s="43">
        <f>R10^2 -1</f>
        <v>0.125626646425679</v>
      </c>
      <c r="T10" s="33">
        <f t="shared" si="6"/>
        <v>7.6540923312597771E-18</v>
      </c>
      <c r="U10" s="40">
        <f t="shared" si="7"/>
        <v>0</v>
      </c>
      <c r="V10" s="15">
        <v>2.33</v>
      </c>
      <c r="W10" t="s">
        <v>11</v>
      </c>
    </row>
    <row r="11" spans="1:29" ht="15" customHeight="1" thickBot="1" x14ac:dyDescent="0.25">
      <c r="B11">
        <v>4.5374888875178683E+24</v>
      </c>
      <c r="C11" s="17">
        <f t="shared" si="1"/>
        <v>6.6070125003434389E-17</v>
      </c>
      <c r="E11" t="s">
        <v>12</v>
      </c>
      <c r="F11" s="10">
        <v>0.92200000000000004</v>
      </c>
      <c r="G11" s="10">
        <v>19.655999999999999</v>
      </c>
      <c r="H11" s="24">
        <f t="shared" si="0"/>
        <v>1.9220000000000002</v>
      </c>
      <c r="I11" s="23">
        <v>21.648</v>
      </c>
      <c r="J11" s="23">
        <v>1.232</v>
      </c>
      <c r="K11" s="23">
        <v>17.577000000000002</v>
      </c>
      <c r="M11" s="17">
        <f>Q11^2*3/B$21^2</f>
        <v>5.7875023016641531E-52</v>
      </c>
      <c r="N11" s="19">
        <f t="shared" si="2"/>
        <v>13.646256599055997</v>
      </c>
      <c r="O11" s="29">
        <f t="shared" si="3"/>
        <v>2.6603551906533142E+17</v>
      </c>
      <c r="P11" s="32">
        <f>1/O11</f>
        <v>3.7588965695758311E-18</v>
      </c>
      <c r="Q11">
        <f>D$19*(1+F11)</f>
        <v>4.1639515149162135E-18</v>
      </c>
      <c r="R11" s="24">
        <f t="shared" si="4"/>
        <v>0.90272342415866658</v>
      </c>
      <c r="S11" s="43">
        <f t="shared" si="5"/>
        <v>-0.18509041947525218</v>
      </c>
      <c r="T11" s="33">
        <f t="shared" si="6"/>
        <v>3.7588965695758311E-18</v>
      </c>
      <c r="U11" s="40">
        <f t="shared" si="7"/>
        <v>0</v>
      </c>
      <c r="V11" s="15">
        <v>0.92200000000000004</v>
      </c>
      <c r="W11" t="s">
        <v>12</v>
      </c>
      <c r="X11" s="17"/>
    </row>
    <row r="12" spans="1:29" ht="15" customHeight="1" thickBot="1" x14ac:dyDescent="0.25">
      <c r="B12">
        <v>4.5374888875178683E+24</v>
      </c>
      <c r="C12" s="17">
        <f t="shared" si="1"/>
        <v>6.6070125003434389E-17</v>
      </c>
      <c r="E12" t="s">
        <v>13</v>
      </c>
      <c r="F12" s="10">
        <v>0.95499999999999996</v>
      </c>
      <c r="G12" s="10">
        <v>20.007999999999999</v>
      </c>
      <c r="H12" s="24">
        <f t="shared" si="0"/>
        <v>1.9550000000000001</v>
      </c>
      <c r="I12" s="23">
        <v>21.707000000000001</v>
      </c>
      <c r="J12" s="23">
        <v>1.22</v>
      </c>
      <c r="K12" s="23">
        <v>17.803000000000001</v>
      </c>
      <c r="M12" s="17">
        <f>Q12^2*3/B$21^2</f>
        <v>5.987946804814925E-52</v>
      </c>
      <c r="N12" s="19">
        <f t="shared" si="2"/>
        <v>14.607875100625003</v>
      </c>
      <c r="O12" s="29">
        <f t="shared" si="3"/>
        <v>2.6945612709336608E+17</v>
      </c>
      <c r="P12" s="32">
        <f>1/O12</f>
        <v>3.7111792958172437E-18</v>
      </c>
      <c r="Q12">
        <f>D$19*(1+F12)</f>
        <v>4.2354449592409978E-18</v>
      </c>
      <c r="R12" s="24">
        <f t="shared" si="4"/>
        <v>0.8762194601821236</v>
      </c>
      <c r="S12" s="43">
        <f t="shared" si="5"/>
        <v>-0.2322394575981479</v>
      </c>
      <c r="T12" s="33">
        <f t="shared" si="6"/>
        <v>3.7111792958172437E-18</v>
      </c>
      <c r="U12" s="40">
        <f t="shared" si="7"/>
        <v>0</v>
      </c>
      <c r="V12" s="15">
        <v>0.95499999999999996</v>
      </c>
      <c r="W12" t="s">
        <v>13</v>
      </c>
      <c r="X12" s="17"/>
    </row>
    <row r="13" spans="1:29" ht="15" customHeight="1" x14ac:dyDescent="0.2">
      <c r="C13" s="17"/>
      <c r="F13" s="10"/>
      <c r="G13" s="10"/>
      <c r="H13" s="13"/>
      <c r="I13" s="13"/>
      <c r="J13" s="13"/>
      <c r="K13" s="53"/>
      <c r="L13" s="17"/>
      <c r="M13" s="19"/>
      <c r="N13" s="24"/>
      <c r="O13" s="29"/>
      <c r="U13" s="46"/>
      <c r="W13" s="24"/>
      <c r="X13" s="43"/>
      <c r="Y13" s="33"/>
      <c r="Z13" s="40"/>
      <c r="AA13" s="15"/>
      <c r="AC13" s="17"/>
    </row>
    <row r="14" spans="1:29" ht="15" customHeight="1" x14ac:dyDescent="0.2">
      <c r="C14" s="17"/>
      <c r="F14" s="10"/>
      <c r="G14" s="10"/>
      <c r="H14" s="13"/>
      <c r="I14" s="13"/>
      <c r="J14" s="13"/>
      <c r="K14" s="53"/>
      <c r="L14" s="17"/>
      <c r="M14" s="19"/>
      <c r="N14" s="24"/>
      <c r="O14" s="29"/>
      <c r="P14" s="29"/>
      <c r="Q14" s="29"/>
      <c r="R14" s="29"/>
      <c r="S14" s="29"/>
      <c r="T14" s="29"/>
      <c r="U14" s="17"/>
      <c r="W14" s="24"/>
      <c r="X14" s="43"/>
      <c r="Y14" s="33"/>
      <c r="Z14" s="40"/>
      <c r="AA14" s="15"/>
      <c r="AC14" s="17"/>
    </row>
    <row r="15" spans="1:29" ht="15" customHeight="1" x14ac:dyDescent="0.2">
      <c r="C15" s="17"/>
      <c r="F15" s="10"/>
      <c r="G15" s="10"/>
      <c r="H15" s="13"/>
      <c r="I15" s="13"/>
      <c r="K15" s="101"/>
      <c r="L15" s="102" t="s">
        <v>71</v>
      </c>
      <c r="M15" s="103"/>
      <c r="N15" s="104"/>
      <c r="O15" s="105"/>
      <c r="P15" s="106"/>
      <c r="Q15" s="107"/>
      <c r="R15" s="105"/>
      <c r="S15" s="108"/>
      <c r="T15" s="29"/>
      <c r="U15" s="13"/>
      <c r="W15" s="24"/>
      <c r="X15" s="43"/>
      <c r="Y15" s="33"/>
      <c r="Z15" s="40"/>
      <c r="AA15" s="15"/>
      <c r="AC15" s="17"/>
    </row>
    <row r="16" spans="1:29" ht="15" customHeight="1" x14ac:dyDescent="0.2">
      <c r="D16" s="11"/>
      <c r="G16" s="10">
        <f>G17^0.5</f>
        <v>0.98723216906369238</v>
      </c>
      <c r="K16" s="66"/>
      <c r="L16" s="67"/>
      <c r="M16" s="68"/>
      <c r="N16" s="69"/>
      <c r="O16" s="70"/>
      <c r="P16" s="71"/>
      <c r="Q16" s="70"/>
      <c r="R16" s="72"/>
      <c r="S16" s="73"/>
      <c r="W16" s="24"/>
      <c r="X16" s="34"/>
      <c r="AC16" s="17"/>
    </row>
    <row r="17" spans="1:29" ht="15" customHeight="1" x14ac:dyDescent="0.2">
      <c r="A17" s="10" t="s">
        <v>45</v>
      </c>
      <c r="B17" s="2">
        <v>1.4167841621573426E+32</v>
      </c>
      <c r="C17" s="10" t="s">
        <v>24</v>
      </c>
      <c r="F17" s="20" t="s">
        <v>55</v>
      </c>
      <c r="G17" s="43">
        <f>(D20/G20)^2</f>
        <v>0.97462735563420289</v>
      </c>
      <c r="H17" s="13"/>
      <c r="I17" s="13"/>
      <c r="J17" s="13"/>
      <c r="K17" s="74" t="s">
        <v>57</v>
      </c>
      <c r="L17" s="75" t="s">
        <v>67</v>
      </c>
      <c r="M17" s="76" t="s">
        <v>50</v>
      </c>
      <c r="N17" s="75" t="s">
        <v>58</v>
      </c>
      <c r="O17" s="77"/>
      <c r="P17" s="78" t="s">
        <v>70</v>
      </c>
      <c r="Q17" s="79" t="s">
        <v>56</v>
      </c>
      <c r="R17" s="76" t="s">
        <v>69</v>
      </c>
      <c r="S17" s="80" t="s">
        <v>68</v>
      </c>
      <c r="X17" s="54"/>
      <c r="AC17" s="17"/>
    </row>
    <row r="18" spans="1:29" ht="14.25" customHeight="1" x14ac:dyDescent="0.2">
      <c r="A18" s="1" t="s">
        <v>22</v>
      </c>
      <c r="D18">
        <f>1/D19</f>
        <v>4.6158078284892666E+17</v>
      </c>
      <c r="E18" s="10" t="s">
        <v>26</v>
      </c>
      <c r="H18" s="49"/>
      <c r="I18" s="49"/>
      <c r="J18" s="49"/>
      <c r="K18" s="81">
        <v>1</v>
      </c>
      <c r="L18" s="82">
        <f>3*(Q4*H4/B$21)^2</f>
        <v>1.5666948292632631E-52</v>
      </c>
      <c r="M18" s="83">
        <f>(1+F4)*B$20</f>
        <v>2.72458</v>
      </c>
      <c r="N18" s="84">
        <f t="shared" ref="N18:N26" si="8">(3/4/B$22^2)*(8*PI()*(M18)/B$17)^4</f>
        <v>1.5666948292632631E-52</v>
      </c>
      <c r="O18" s="85"/>
      <c r="P18" s="86">
        <f t="shared" ref="P18" si="9">Q18/S18/K18^2</f>
        <v>1.5666948292632629E-52</v>
      </c>
      <c r="Q18" s="87">
        <f>3*(P4*H4/B$21)^2</f>
        <v>1.6277324297330402E-52</v>
      </c>
      <c r="R18" s="86">
        <v>1</v>
      </c>
      <c r="S18" s="88">
        <f t="shared" ref="S18:S26" si="10">Q18/L18</f>
        <v>1.0389594701722991</v>
      </c>
      <c r="W18" s="48"/>
      <c r="X18" s="13"/>
      <c r="Y18" s="25"/>
      <c r="Z18" s="50"/>
      <c r="AA18" s="49"/>
      <c r="AC18" s="11"/>
    </row>
    <row r="19" spans="1:29" ht="14.25" customHeight="1" x14ac:dyDescent="0.2">
      <c r="A19" s="41" t="s">
        <v>54</v>
      </c>
      <c r="B19" s="16">
        <f>D19/1000*B24</f>
        <v>66.850217747846074</v>
      </c>
      <c r="C19" s="3" t="s">
        <v>32</v>
      </c>
      <c r="D19" s="47">
        <f>$B$21/2/$B$22*(8*PI()*B20/$B$17)^2</f>
        <v>2.1664680098419425E-18</v>
      </c>
      <c r="E19" s="14" t="s">
        <v>23</v>
      </c>
      <c r="F19" s="52" t="s">
        <v>52</v>
      </c>
      <c r="G19" s="18">
        <v>68.14</v>
      </c>
      <c r="H19" s="30" t="s">
        <v>53</v>
      </c>
      <c r="I19" s="30"/>
      <c r="J19" s="30"/>
      <c r="K19" s="81">
        <v>1.51</v>
      </c>
      <c r="L19" s="82">
        <f>3*(Q5/B$21)^2</f>
        <v>3.5722208802031664E-52</v>
      </c>
      <c r="M19" s="83">
        <f>(1+F5)*B$20</f>
        <v>4.1141158000000004</v>
      </c>
      <c r="N19" s="89">
        <f t="shared" si="8"/>
        <v>8.1450208289512473E-52</v>
      </c>
      <c r="O19" s="85"/>
      <c r="P19" s="90">
        <f>Q19/S19/K19^2</f>
        <v>1.5666948292632631E-52</v>
      </c>
      <c r="Q19" s="86">
        <f>3*(P5/B$21)^2</f>
        <v>3.0483904772180246E-52</v>
      </c>
      <c r="R19" s="91">
        <f>1+S5</f>
        <v>0.85336001872444434</v>
      </c>
      <c r="S19" s="92">
        <f>Q19/L19</f>
        <v>0.85336001872444422</v>
      </c>
      <c r="T19" s="17"/>
      <c r="W19" s="55"/>
      <c r="X19" s="13"/>
      <c r="Y19" s="12"/>
      <c r="Z19" s="13"/>
    </row>
    <row r="20" spans="1:29" ht="14.25" customHeight="1" x14ac:dyDescent="0.2">
      <c r="A20" s="1" t="s">
        <v>27</v>
      </c>
      <c r="B20" s="45">
        <v>2.72458</v>
      </c>
      <c r="C20" s="5" t="s">
        <v>24</v>
      </c>
      <c r="D20">
        <f>67.27/B24*1000</f>
        <v>2.1800722261187126E-18</v>
      </c>
      <c r="F20" s="52" t="s">
        <v>52</v>
      </c>
      <c r="G20" s="17">
        <f>G19/B24*1000</f>
        <v>2.2082670059124289E-18</v>
      </c>
      <c r="H20" s="10" t="s">
        <v>23</v>
      </c>
      <c r="I20" s="10"/>
      <c r="J20" s="10"/>
      <c r="K20" s="81">
        <v>1.706</v>
      </c>
      <c r="L20" s="82">
        <f>3*(Q6/B$21)^2</f>
        <v>4.5597650321016549E-52</v>
      </c>
      <c r="M20" s="83">
        <f t="shared" ref="M20:M26" si="11">H6*B$20</f>
        <v>4.6481334800000003</v>
      </c>
      <c r="N20" s="93">
        <f t="shared" si="8"/>
        <v>1.3270904300969809E-51</v>
      </c>
      <c r="O20" s="85"/>
      <c r="P20" s="90">
        <f t="shared" ref="P20:P26" si="12">Q20/S20/K20^2</f>
        <v>1.5666948292632634E-52</v>
      </c>
      <c r="Q20" s="89">
        <f>3*(P6/B$21)^2</f>
        <v>3.8497066348611884E-52</v>
      </c>
      <c r="R20" s="91">
        <f>1+S6</f>
        <v>0.84427741512084209</v>
      </c>
      <c r="S20" s="92">
        <f t="shared" ref="S20:S26" si="13">Q20/L20</f>
        <v>0.84427741512084198</v>
      </c>
      <c r="W20" s="55"/>
      <c r="X20" s="13"/>
      <c r="Z20" s="43"/>
    </row>
    <row r="21" spans="1:29" ht="14.25" customHeight="1" x14ac:dyDescent="0.25">
      <c r="A21" s="8" t="s">
        <v>0</v>
      </c>
      <c r="B21" s="1">
        <f>299792458</f>
        <v>299792458</v>
      </c>
      <c r="C21" s="7" t="s">
        <v>3</v>
      </c>
      <c r="E21" s="11"/>
      <c r="G21" s="17"/>
      <c r="H21" s="13"/>
      <c r="I21" s="13"/>
      <c r="J21" s="13"/>
      <c r="K21" s="81">
        <v>1.9340000000000002</v>
      </c>
      <c r="L21" s="82">
        <f>3*(Q7/B$21)^2</f>
        <v>5.859996404803823E-52</v>
      </c>
      <c r="M21" s="83">
        <f t="shared" si="11"/>
        <v>5.2693377200000002</v>
      </c>
      <c r="N21" s="94">
        <f t="shared" si="8"/>
        <v>2.1918472712686405E-51</v>
      </c>
      <c r="O21" s="85"/>
      <c r="P21" s="90">
        <f t="shared" si="12"/>
        <v>1.5666948292632631E-52</v>
      </c>
      <c r="Q21" s="86">
        <f>3*(P7/B$21)^2</f>
        <v>4.6821325672514768E-52</v>
      </c>
      <c r="R21" s="91">
        <f>1+S7</f>
        <v>0.79899922181065275</v>
      </c>
      <c r="S21" s="92">
        <f t="shared" si="13"/>
        <v>0.79899922181065264</v>
      </c>
      <c r="W21" s="55"/>
      <c r="X21" s="13"/>
      <c r="Z21" s="43"/>
    </row>
    <row r="22" spans="1:29" ht="14.25" customHeight="1" x14ac:dyDescent="0.2">
      <c r="A22" s="1" t="s">
        <v>2</v>
      </c>
      <c r="B22" s="1">
        <v>1.6162550244237055E-35</v>
      </c>
      <c r="C22" s="6" t="s">
        <v>25</v>
      </c>
      <c r="D22" s="39">
        <f>3/4/$B$22^2*($B$20*8*PI()/$B$17)^4</f>
        <v>1.5666948292632631E-52</v>
      </c>
      <c r="E22" s="14" t="s">
        <v>51</v>
      </c>
      <c r="F22" s="10" t="s">
        <v>44</v>
      </c>
      <c r="G22" s="5"/>
      <c r="H22" s="44"/>
      <c r="I22" s="44"/>
      <c r="J22" s="44"/>
      <c r="K22" s="81">
        <v>2.3209999999999997</v>
      </c>
      <c r="L22" s="82">
        <f>3*(Q8/B$21)^2</f>
        <v>8.4398492797291965E-52</v>
      </c>
      <c r="M22" s="83">
        <f t="shared" si="11"/>
        <v>6.3237501799999993</v>
      </c>
      <c r="N22" s="93">
        <f t="shared" si="8"/>
        <v>4.5465814103721653E-51</v>
      </c>
      <c r="O22" s="85"/>
      <c r="P22" s="90">
        <f t="shared" si="12"/>
        <v>1.5666948292632631E-52</v>
      </c>
      <c r="Q22" s="82">
        <f>3*(P8/B$21)^2</f>
        <v>7.2507460847019868E-52</v>
      </c>
      <c r="R22" s="91">
        <f>1+S8</f>
        <v>0.85910847982994254</v>
      </c>
      <c r="S22" s="92">
        <f t="shared" si="13"/>
        <v>0.85910847982994265</v>
      </c>
      <c r="W22" s="55"/>
      <c r="X22" s="13"/>
      <c r="Z22" s="43"/>
    </row>
    <row r="23" spans="1:29" ht="14.25" customHeight="1" x14ac:dyDescent="0.2">
      <c r="A23" s="10" t="s">
        <v>42</v>
      </c>
      <c r="B23" s="6">
        <v>6.6742999999999994E-11</v>
      </c>
      <c r="C23" s="6"/>
      <c r="D23" s="20" t="s">
        <v>28</v>
      </c>
      <c r="E23" s="51">
        <f>3/(D18*B21)^2</f>
        <v>1.5666948292632634E-52</v>
      </c>
      <c r="G23" s="13"/>
      <c r="K23" s="81">
        <v>2.484</v>
      </c>
      <c r="L23" s="82">
        <f>3*(Q9/B$21)^2</f>
        <v>9.6669081704306258E-52</v>
      </c>
      <c r="M23" s="83">
        <f t="shared" si="11"/>
        <v>6.7678567200000002</v>
      </c>
      <c r="N23" s="94">
        <f t="shared" si="8"/>
        <v>5.9647298140048607E-51</v>
      </c>
      <c r="O23" s="85"/>
      <c r="P23" s="90">
        <f t="shared" si="12"/>
        <v>1.5666948292632633E-52</v>
      </c>
      <c r="Q23" s="89">
        <f>3*(P9/B$21)^2</f>
        <v>8.8698716849822975E-52</v>
      </c>
      <c r="R23" s="91">
        <f>1+S9</f>
        <v>0.91755000964151856</v>
      </c>
      <c r="S23" s="92">
        <f t="shared" si="13"/>
        <v>0.91755000964151878</v>
      </c>
      <c r="W23" s="55"/>
      <c r="X23" s="13"/>
      <c r="Z23" s="43"/>
    </row>
    <row r="24" spans="1:29" ht="15" customHeight="1" x14ac:dyDescent="0.2">
      <c r="A24" t="s">
        <v>1</v>
      </c>
      <c r="B24">
        <v>3.0856775841672002E+22</v>
      </c>
      <c r="C24" s="9" t="s">
        <v>25</v>
      </c>
      <c r="F24" s="5"/>
      <c r="G24" s="4"/>
      <c r="H24" s="13"/>
      <c r="I24" s="13"/>
      <c r="J24" s="13"/>
      <c r="K24" s="81">
        <v>3.33</v>
      </c>
      <c r="L24" s="82">
        <f>3*(Q10/B$21)^2</f>
        <v>1.7372922292217396E-51</v>
      </c>
      <c r="M24" s="83">
        <f t="shared" si="11"/>
        <v>9.0728513999999993</v>
      </c>
      <c r="N24" s="93">
        <f t="shared" si="8"/>
        <v>1.9264659800616941E-50</v>
      </c>
      <c r="O24" s="86"/>
      <c r="P24" s="90">
        <f t="shared" si="12"/>
        <v>1.5666948292632629E-52</v>
      </c>
      <c r="Q24" s="82">
        <f>3*(P10/B$21)^2</f>
        <v>1.9555424258402593E-51</v>
      </c>
      <c r="R24" s="91">
        <f>1+S10</f>
        <v>1.125626646425679</v>
      </c>
      <c r="S24" s="92">
        <f t="shared" si="13"/>
        <v>1.1256266464256792</v>
      </c>
      <c r="W24" s="55"/>
      <c r="X24" s="13"/>
      <c r="Z24" s="50"/>
    </row>
    <row r="25" spans="1:29" ht="14.25" customHeight="1" x14ac:dyDescent="0.2">
      <c r="A25" t="s">
        <v>65</v>
      </c>
      <c r="B25">
        <v>2.1764343427178987E-8</v>
      </c>
      <c r="G25" s="12"/>
      <c r="K25" s="81">
        <v>1.9220000000000002</v>
      </c>
      <c r="L25" s="82">
        <f>3*(Q11/B$21)^2</f>
        <v>5.7875023016641538E-52</v>
      </c>
      <c r="M25" s="83">
        <f t="shared" si="11"/>
        <v>5.2366427600000005</v>
      </c>
      <c r="N25" s="94">
        <f t="shared" si="8"/>
        <v>2.1379519652540726E-51</v>
      </c>
      <c r="O25" s="86"/>
      <c r="P25" s="90">
        <f t="shared" si="12"/>
        <v>1.5666948292632633E-52</v>
      </c>
      <c r="Q25" s="82">
        <f>3*(P11/B$21)^2</f>
        <v>4.7162910729351466E-52</v>
      </c>
      <c r="R25" s="91">
        <f>1+S11</f>
        <v>0.81490958052474782</v>
      </c>
      <c r="S25" s="92">
        <f t="shared" si="13"/>
        <v>0.8149095805247476</v>
      </c>
      <c r="W25" s="55"/>
      <c r="X25" s="13"/>
      <c r="Z25" s="43"/>
    </row>
    <row r="26" spans="1:29" ht="14.25" customHeight="1" x14ac:dyDescent="0.2">
      <c r="A26" t="s">
        <v>66</v>
      </c>
      <c r="B26" s="65">
        <v>5.3912500000000002E-44</v>
      </c>
      <c r="K26" s="95">
        <v>1.9550000000000001</v>
      </c>
      <c r="L26" s="96">
        <f>3*(Q12/B$21)^2</f>
        <v>5.9879468048149243E-52</v>
      </c>
      <c r="M26" s="97">
        <f t="shared" si="11"/>
        <v>5.3265539000000004</v>
      </c>
      <c r="N26" s="98">
        <f t="shared" si="8"/>
        <v>2.288608238667275E-51</v>
      </c>
      <c r="O26" s="96"/>
      <c r="P26" s="99">
        <f t="shared" si="12"/>
        <v>1.5666948292632633E-52</v>
      </c>
      <c r="Q26" s="96">
        <f>3*(P12/B$21)^2</f>
        <v>4.5973092867381444E-52</v>
      </c>
      <c r="R26" s="96">
        <f>1+S12</f>
        <v>0.7677605424018521</v>
      </c>
      <c r="S26" s="100">
        <f t="shared" si="13"/>
        <v>0.76776054240185221</v>
      </c>
      <c r="W26" s="55"/>
      <c r="X26" s="13"/>
      <c r="Z26" s="43"/>
    </row>
    <row r="27" spans="1:29" ht="14.25" customHeight="1" x14ac:dyDescent="0.2">
      <c r="K27" s="12"/>
    </row>
    <row r="28" spans="1:29" ht="14.25" customHeight="1" x14ac:dyDescent="0.2">
      <c r="A28" s="37" t="s">
        <v>40</v>
      </c>
      <c r="B28" s="36" t="s">
        <v>41</v>
      </c>
      <c r="K28" s="17"/>
    </row>
    <row r="29" spans="1:29" ht="24.75" customHeight="1" x14ac:dyDescent="0.2"/>
    <row r="30" spans="1:29" ht="14.25" customHeight="1" x14ac:dyDescent="0.2">
      <c r="A30" s="10"/>
      <c r="C30" s="10"/>
      <c r="M30" s="15"/>
      <c r="N30" s="10"/>
      <c r="U30" s="21"/>
    </row>
    <row r="31" spans="1:29" ht="14.25" customHeight="1" x14ac:dyDescent="0.2">
      <c r="A31" s="10"/>
      <c r="B31" s="65"/>
      <c r="R31" s="17"/>
    </row>
    <row r="32" spans="1:29" ht="14.25" customHeight="1" x14ac:dyDescent="0.2">
      <c r="M32" s="24"/>
      <c r="U32" s="24"/>
    </row>
    <row r="33" spans="1:21" ht="14.25" customHeight="1" x14ac:dyDescent="0.2">
      <c r="A33" s="10"/>
      <c r="B33" s="65"/>
      <c r="M33" s="24"/>
      <c r="U33" s="24"/>
    </row>
    <row r="34" spans="1:21" ht="14.25" customHeight="1" x14ac:dyDescent="0.2">
      <c r="A34" s="10"/>
      <c r="B34" s="65"/>
      <c r="M34" s="24"/>
      <c r="U34" s="24"/>
    </row>
    <row r="35" spans="1:21" ht="26.25" customHeight="1" x14ac:dyDescent="0.2">
      <c r="M35" s="24"/>
      <c r="U35" s="24"/>
    </row>
    <row r="36" spans="1:21" ht="14.25" customHeight="1" x14ac:dyDescent="0.2">
      <c r="M36" s="24"/>
      <c r="U36" s="24"/>
    </row>
    <row r="37" spans="1:21" ht="14.25" customHeight="1" x14ac:dyDescent="0.2">
      <c r="M37" s="24"/>
      <c r="U37" s="24"/>
    </row>
    <row r="38" spans="1:21" ht="14.25" customHeight="1" x14ac:dyDescent="0.2">
      <c r="M38" s="24"/>
      <c r="U38" s="24"/>
    </row>
    <row r="39" spans="1:21" ht="14.25" customHeight="1" x14ac:dyDescent="0.2">
      <c r="M39" s="24"/>
      <c r="U39" s="24"/>
    </row>
    <row r="40" spans="1:21" ht="14.25" customHeight="1" x14ac:dyDescent="0.2"/>
    <row r="41" spans="1:21" ht="14.25" customHeight="1" x14ac:dyDescent="0.2"/>
    <row r="42" spans="1:21" ht="14.25" customHeight="1" x14ac:dyDescent="0.2"/>
    <row r="43" spans="1:21" ht="14.25" customHeight="1" x14ac:dyDescent="0.2"/>
    <row r="44" spans="1:21" ht="14.25" customHeight="1" x14ac:dyDescent="0.2"/>
    <row r="45" spans="1:21" ht="24.75" customHeight="1" x14ac:dyDescent="0.2"/>
    <row r="46" spans="1:21" ht="14.25" customHeight="1" x14ac:dyDescent="0.2"/>
    <row r="47" spans="1:21" ht="14.25" customHeight="1" x14ac:dyDescent="0.2"/>
    <row r="48" spans="1:21" ht="14.25" customHeight="1" x14ac:dyDescent="0.2"/>
    <row r="49" spans="12:13" ht="14.25" customHeight="1" x14ac:dyDescent="0.2"/>
    <row r="50" spans="12:13" ht="14.25" customHeight="1" x14ac:dyDescent="0.2"/>
    <row r="51" spans="12:13" ht="14.25" customHeight="1" x14ac:dyDescent="0.2"/>
    <row r="52" spans="12:13" ht="14.25" customHeight="1" x14ac:dyDescent="0.2"/>
    <row r="53" spans="12:13" ht="14.25" customHeight="1" x14ac:dyDescent="0.2"/>
    <row r="54" spans="12:13" ht="14.25" customHeight="1" x14ac:dyDescent="0.2"/>
    <row r="55" spans="12:13" ht="14.25" customHeight="1" x14ac:dyDescent="0.2"/>
    <row r="56" spans="12:13" ht="14.25" customHeight="1" x14ac:dyDescent="0.2"/>
    <row r="57" spans="12:13" ht="14.25" customHeight="1" x14ac:dyDescent="0.2"/>
    <row r="58" spans="12:13" ht="14.25" customHeight="1" x14ac:dyDescent="0.2"/>
    <row r="59" spans="12:13" ht="14.25" customHeight="1" x14ac:dyDescent="0.2"/>
    <row r="60" spans="12:13" ht="14.25" customHeight="1" x14ac:dyDescent="0.2"/>
    <row r="61" spans="12:13" ht="14.25" customHeight="1" x14ac:dyDescent="0.2"/>
    <row r="62" spans="12:13" ht="14.25" customHeight="1" x14ac:dyDescent="0.2"/>
    <row r="63" spans="12:13" ht="14.25" customHeight="1" x14ac:dyDescent="0.2">
      <c r="L63" s="26"/>
      <c r="M63" s="27"/>
    </row>
    <row r="64" spans="12:13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  <row r="1014" ht="14.25" customHeight="1" x14ac:dyDescent="0.2"/>
    <row r="1015" ht="14.25" customHeight="1" x14ac:dyDescent="0.2"/>
    <row r="1016" ht="14.25" customHeight="1" x14ac:dyDescent="0.2"/>
    <row r="1017" ht="14.25" customHeight="1" x14ac:dyDescent="0.2"/>
  </sheetData>
  <sortState xmlns:xlrd2="http://schemas.microsoft.com/office/spreadsheetml/2017/richdata2" ref="H23:K23">
    <sortCondition descending="1" ref="K22:K23"/>
  </sortState>
  <hyperlinks>
    <hyperlink ref="A21" r:id="rId1" xr:uid="{00000000-0004-0000-0000-000004000000}"/>
    <hyperlink ref="B28" r:id="rId2" xr:uid="{9B787B8B-F57B-4057-B0C3-06969D78AC3C}"/>
    <hyperlink ref="L15" r:id="rId3" xr:uid="{77016048-FC96-45A6-90D0-3CDD6DBD934E}"/>
  </hyperlinks>
  <pageMargins left="0.7" right="0.7" top="0.75" bottom="0.75" header="0" footer="0"/>
  <pageSetup orientation="landscape" r:id="rId4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wojnow</dc:creator>
  <cp:lastModifiedBy>stéphane wojnow</cp:lastModifiedBy>
  <dcterms:created xsi:type="dcterms:W3CDTF">2023-10-22T20:52:25Z</dcterms:created>
  <dcterms:modified xsi:type="dcterms:W3CDTF">2026-05-23T08:48:01Z</dcterms:modified>
</cp:coreProperties>
</file>