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teph\OneDrive\Bureau\PDF site\redshift\"/>
    </mc:Choice>
  </mc:AlternateContent>
  <xr:revisionPtr revIDLastSave="0" documentId="13_ncr:1_{7909B77C-4BD0-4938-9805-09AA555FF18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mtHIKRKrJMkQy5rnAxPdl3ecc0gnnaY4K10ATwdeX3g="/>
    </ext>
  </extLst>
</workbook>
</file>

<file path=xl/calcChain.xml><?xml version="1.0" encoding="utf-8"?>
<calcChain xmlns="http://schemas.openxmlformats.org/spreadsheetml/2006/main">
  <c r="G16" i="1" l="1"/>
  <c r="G15" i="1" s="1"/>
  <c r="V14" i="1"/>
  <c r="V10" i="1" l="1"/>
  <c r="V11" i="1" s="1"/>
  <c r="V12" i="1"/>
  <c r="V13" i="1"/>
  <c r="A3" i="1" l="1"/>
  <c r="D18" i="1"/>
  <c r="D16" i="1"/>
  <c r="B4" i="1" l="1"/>
  <c r="A5" i="1"/>
  <c r="B17" i="1" l="1"/>
  <c r="M8" i="1" l="1"/>
  <c r="D15" i="1"/>
  <c r="M4" i="1"/>
  <c r="M9" i="1"/>
  <c r="N9" i="1" s="1"/>
  <c r="M5" i="1"/>
  <c r="N5" i="1" s="1"/>
  <c r="N8" i="1"/>
  <c r="N4" i="1"/>
  <c r="M11" i="1"/>
  <c r="N11" i="1" s="1"/>
  <c r="M7" i="1"/>
  <c r="M10" i="1"/>
  <c r="N10" i="1" s="1"/>
  <c r="M6" i="1"/>
  <c r="N6" i="1" s="1"/>
  <c r="C4" i="1"/>
  <c r="C6" i="1"/>
  <c r="N7" i="1"/>
  <c r="C9" i="1"/>
  <c r="C5" i="1"/>
  <c r="C8" i="1"/>
  <c r="C10" i="1"/>
  <c r="C11" i="1"/>
  <c r="C7" i="1"/>
  <c r="B29" i="1" l="1"/>
  <c r="B30" i="1" s="1"/>
  <c r="H9" i="1"/>
  <c r="H10" i="1"/>
  <c r="O4" i="1"/>
  <c r="B15" i="1"/>
  <c r="D14" i="1"/>
  <c r="G13" i="1" s="1"/>
  <c r="J10" i="1" l="1"/>
  <c r="J6" i="1"/>
  <c r="J9" i="1"/>
  <c r="K9" i="1" s="1"/>
  <c r="L9" i="1" s="1"/>
  <c r="J5" i="1"/>
  <c r="J8" i="1"/>
  <c r="K8" i="1" s="1"/>
  <c r="L8" i="1" s="1"/>
  <c r="J4" i="1"/>
  <c r="K4" i="1" s="1"/>
  <c r="L4" i="1" s="1"/>
  <c r="J11" i="1"/>
  <c r="J7" i="1"/>
  <c r="P4" i="1"/>
  <c r="Q4" i="1" s="1"/>
  <c r="R4" i="1"/>
  <c r="O10" i="1"/>
  <c r="O5" i="1"/>
  <c r="H8" i="1"/>
  <c r="H4" i="1"/>
  <c r="O6" i="1"/>
  <c r="O8" i="1"/>
  <c r="H6" i="1"/>
  <c r="H11" i="1"/>
  <c r="O9" i="1"/>
  <c r="O11" i="1"/>
  <c r="H7" i="1"/>
  <c r="O7" i="1"/>
  <c r="H5" i="1"/>
  <c r="P7" i="1" l="1"/>
  <c r="Q7" i="1" s="1"/>
  <c r="R7" i="1" s="1"/>
  <c r="P11" i="1"/>
  <c r="Q11" i="1" s="1"/>
  <c r="P8" i="1"/>
  <c r="Q8" i="1" s="1"/>
  <c r="P5" i="1"/>
  <c r="Q5" i="1" s="1"/>
  <c r="R5" i="1" s="1"/>
  <c r="P9" i="1"/>
  <c r="Q9" i="1" s="1"/>
  <c r="R9" i="1" s="1"/>
  <c r="S9" i="1" s="1"/>
  <c r="P6" i="1"/>
  <c r="Q6" i="1" s="1"/>
  <c r="P10" i="1"/>
  <c r="Q10" i="1" s="1"/>
  <c r="R10" i="1" s="1"/>
  <c r="S4" i="1"/>
  <c r="K5" i="1"/>
  <c r="L5" i="1" s="1"/>
  <c r="K11" i="1"/>
  <c r="L11" i="1" s="1"/>
  <c r="K7" i="1"/>
  <c r="L7" i="1" s="1"/>
  <c r="K10" i="1"/>
  <c r="L10" i="1" s="1"/>
  <c r="K6" i="1"/>
  <c r="L6" i="1" s="1"/>
  <c r="S10" i="1" l="1"/>
  <c r="S5" i="1"/>
  <c r="R11" i="1"/>
  <c r="S11" i="1" s="1"/>
  <c r="R6" i="1"/>
  <c r="S6" i="1" s="1"/>
  <c r="R8" i="1"/>
  <c r="S8" i="1" s="1"/>
  <c r="S7" i="1"/>
</calcChain>
</file>

<file path=xl/sharedStrings.xml><?xml version="1.0" encoding="utf-8"?>
<sst xmlns="http://schemas.openxmlformats.org/spreadsheetml/2006/main" count="70" uniqueCount="58">
  <si>
    <t xml:space="preserve"> vitesse de la lumière </t>
  </si>
  <si>
    <t>megaparsec</t>
  </si>
  <si>
    <t>longeur planck</t>
  </si>
  <si>
    <t>m/s</t>
  </si>
  <si>
    <t>tracer</t>
  </si>
  <si>
    <t>LRG1</t>
  </si>
  <si>
    <t>z_eff</t>
  </si>
  <si>
    <t>LRG2</t>
  </si>
  <si>
    <t>LRG3,+ELG1</t>
  </si>
  <si>
    <t>ELG2</t>
  </si>
  <si>
    <t>QSO</t>
  </si>
  <si>
    <t>Lyman</t>
  </si>
  <si>
    <t>LRG3</t>
  </si>
  <si>
    <t>ELG1</t>
  </si>
  <si>
    <t>c/(rd)</t>
  </si>
  <si>
    <t>/Mpc/ c =  t(z)</t>
  </si>
  <si>
    <t>H(z) thermo</t>
  </si>
  <si>
    <t>H(z) lin</t>
  </si>
  <si>
    <t>H(z)lin</t>
  </si>
  <si>
    <t>H(z) rattrapage ("Catch-Up") -</t>
  </si>
  <si>
    <t>difference (col O - column S)</t>
  </si>
  <si>
    <t xml:space="preserve"> ("Catch-Up")</t>
  </si>
  <si>
    <t>H(z)lin thermo rattrapage</t>
  </si>
  <si>
    <t>tH(0)  de Rh=ct thermo</t>
  </si>
  <si>
    <t>s^-1</t>
  </si>
  <si>
    <t>K</t>
  </si>
  <si>
    <t>meters</t>
  </si>
  <si>
    <t>s</t>
  </si>
  <si>
    <t>température cmb(0)</t>
  </si>
  <si>
    <t xml:space="preserve">Lambda_eff(0) = </t>
  </si>
  <si>
    <t>(RH=DH in the 2 models)</t>
  </si>
  <si>
    <t>1 / t(z) DESI =</t>
  </si>
  <si>
    <t>H(z) DESI</t>
  </si>
  <si>
    <t>paramètre de hubble H(0)</t>
  </si>
  <si>
    <t>km/s/Mpc                             =</t>
  </si>
  <si>
    <t>m^-2 ( =Λeff(0) )</t>
  </si>
  <si>
    <t>DH/rd data DESI</t>
  </si>
  <si>
    <t>rd ( DESI + Rh=ct)</t>
  </si>
  <si>
    <t>tracer DESI</t>
  </si>
  <si>
    <t>H(z) DESI  /</t>
  </si>
  <si>
    <t>( H(z) DESI  /  H(z)lin )^2 -1</t>
  </si>
  <si>
    <t xml:space="preserve">  = 𝛿𝑡ℎ𝑒𝑟𝑚𝑖𝑞𝑢𝑒(𝑧)</t>
  </si>
  <si>
    <t xml:space="preserve">Λeff(z) </t>
  </si>
  <si>
    <t>by Stéphane Wojnow</t>
  </si>
  <si>
    <t>https://constantecosmologique.fr/tensions-desi-et-jwst-resolution-par-integration-de-la-temperature-du-cmb-dans-%ce%bbcdm/</t>
  </si>
  <si>
    <t>G</t>
  </si>
  <si>
    <t>DV/rd datas not used</t>
  </si>
  <si>
    <t>calculated with Tp</t>
  </si>
  <si>
    <t>température de Planck (Tp)</t>
  </si>
  <si>
    <t>R_H(z) in DESI</t>
  </si>
  <si>
    <t>température recombinaison</t>
  </si>
  <si>
    <t>paramètre de hubble H(0)  recombinaison</t>
  </si>
  <si>
    <t>(1+z)^2 lin  recombinaison</t>
  </si>
  <si>
    <t>z lin  recombinaison</t>
  </si>
  <si>
    <r>
      <t>K (</t>
    </r>
    <r>
      <rPr>
        <i/>
        <sz val="10"/>
        <color rgb="FF000000"/>
        <rFont val="Arial"/>
        <family val="2"/>
        <scheme val="minor"/>
      </rPr>
      <t>use 3000 in cell B16</t>
    </r>
    <r>
      <rPr>
        <sz val="10"/>
        <color rgb="FF000000"/>
        <rFont val="Arial"/>
        <family val="2"/>
        <scheme val="minor"/>
      </rPr>
      <t>)</t>
    </r>
  </si>
  <si>
    <t xml:space="preserve">H obs(z) DESI </t>
  </si>
  <si>
    <t>(1+z)^2</t>
  </si>
  <si>
    <t>(1+z)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</si>
</sst>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00000000000E+000"/>
    <numFmt numFmtId="165" formatCode="0.000000000E+000"/>
    <numFmt numFmtId="166" formatCode="0.00000"/>
    <numFmt numFmtId="167" formatCode="0.000000000000"/>
    <numFmt numFmtId="168" formatCode="0.000000000E+00"/>
    <numFmt numFmtId="169" formatCode="0.0000E+00"/>
    <numFmt numFmtId="170" formatCode="0.000"/>
    <numFmt numFmtId="171" formatCode="0.0000000000000E+00"/>
    <numFmt numFmtId="172" formatCode="0.00000E+00"/>
    <numFmt numFmtId="173" formatCode="0.0000"/>
    <numFmt numFmtId="174" formatCode="0.00000000E+00"/>
    <numFmt numFmtId="175" formatCode="0.000000000000E+00"/>
  </numFmts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Courier New"/>
      <family val="3"/>
    </font>
    <font>
      <u/>
      <sz val="10"/>
      <color rgb="FF0000FF"/>
      <name val="Times New Roman"/>
      <family val="1"/>
    </font>
    <font>
      <sz val="10"/>
      <color rgb="FF000000"/>
      <name val="Arial"/>
      <family val="2"/>
      <scheme val="minor"/>
    </font>
    <font>
      <sz val="11"/>
      <color rgb="FF000000"/>
      <name val="Aptos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i/>
      <sz val="10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2" fontId="2" fillId="0" borderId="0" xfId="0" applyNumberFormat="1" applyFont="1"/>
    <xf numFmtId="164" fontId="1" fillId="0" borderId="0" xfId="0" applyNumberFormat="1" applyFont="1"/>
    <xf numFmtId="166" fontId="2" fillId="0" borderId="0" xfId="0" applyNumberFormat="1" applyFont="1"/>
    <xf numFmtId="165" fontId="1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7" fontId="2" fillId="0" borderId="0" xfId="0" applyNumberFormat="1" applyFont="1"/>
    <xf numFmtId="0" fontId="5" fillId="0" borderId="0" xfId="0" applyFont="1"/>
    <xf numFmtId="165" fontId="0" fillId="0" borderId="0" xfId="0" applyNumberFormat="1"/>
    <xf numFmtId="168" fontId="0" fillId="0" borderId="0" xfId="0" applyNumberFormat="1"/>
    <xf numFmtId="164" fontId="0" fillId="0" borderId="0" xfId="0" applyNumberFormat="1"/>
    <xf numFmtId="165" fontId="3" fillId="0" borderId="0" xfId="0" applyNumberFormat="1" applyFont="1" applyAlignment="1">
      <alignment wrapText="1"/>
    </xf>
    <xf numFmtId="169" fontId="0" fillId="0" borderId="0" xfId="0" applyNumberFormat="1"/>
    <xf numFmtId="165" fontId="5" fillId="0" borderId="0" xfId="0" applyNumberFormat="1" applyFont="1"/>
    <xf numFmtId="0" fontId="5" fillId="0" borderId="0" xfId="0" applyFont="1" applyAlignment="1">
      <alignment horizontal="center"/>
    </xf>
    <xf numFmtId="170" fontId="2" fillId="0" borderId="0" xfId="0" applyNumberFormat="1" applyFont="1"/>
    <xf numFmtId="171" fontId="0" fillId="0" borderId="0" xfId="0" applyNumberFormat="1"/>
    <xf numFmtId="172" fontId="0" fillId="0" borderId="0" xfId="0" applyNumberFormat="1"/>
    <xf numFmtId="2" fontId="0" fillId="0" borderId="0" xfId="0" applyNumberFormat="1"/>
    <xf numFmtId="170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3" fontId="0" fillId="0" borderId="0" xfId="0" applyNumberFormat="1"/>
    <xf numFmtId="169" fontId="5" fillId="0" borderId="0" xfId="0" applyNumberFormat="1" applyFont="1"/>
    <xf numFmtId="0" fontId="0" fillId="3" borderId="0" xfId="0" applyFill="1"/>
    <xf numFmtId="165" fontId="0" fillId="3" borderId="0" xfId="0" applyNumberFormat="1" applyFill="1"/>
    <xf numFmtId="0" fontId="5" fillId="4" borderId="0" xfId="0" applyFont="1" applyFill="1" applyAlignment="1">
      <alignment horizontal="center"/>
    </xf>
    <xf numFmtId="174" fontId="0" fillId="0" borderId="0" xfId="0" applyNumberFormat="1"/>
    <xf numFmtId="172" fontId="5" fillId="0" borderId="0" xfId="0" applyNumberFormat="1" applyFont="1"/>
    <xf numFmtId="0" fontId="5" fillId="5" borderId="0" xfId="0" applyFont="1" applyFill="1" applyAlignment="1">
      <alignment horizontal="center"/>
    </xf>
    <xf numFmtId="172" fontId="0" fillId="6" borderId="0" xfId="0" applyNumberFormat="1" applyFill="1"/>
    <xf numFmtId="169" fontId="0" fillId="6" borderId="0" xfId="0" applyNumberFormat="1" applyFill="1"/>
    <xf numFmtId="0" fontId="5" fillId="7" borderId="0" xfId="0" applyFont="1" applyFill="1" applyAlignment="1">
      <alignment horizontal="center"/>
    </xf>
    <xf numFmtId="0" fontId="5" fillId="5" borderId="0" xfId="0" applyFont="1" applyFill="1"/>
    <xf numFmtId="170" fontId="8" fillId="0" borderId="0" xfId="0" applyNumberFormat="1" applyFont="1"/>
    <xf numFmtId="175" fontId="0" fillId="0" borderId="0" xfId="0" applyNumberFormat="1" applyAlignment="1">
      <alignment horizontal="left"/>
    </xf>
    <xf numFmtId="0" fontId="7" fillId="7" borderId="0" xfId="1" applyFill="1"/>
    <xf numFmtId="165" fontId="0" fillId="8" borderId="0" xfId="0" applyNumberFormat="1" applyFill="1"/>
    <xf numFmtId="0" fontId="8" fillId="7" borderId="0" xfId="0" applyFont="1" applyFill="1" applyAlignment="1">
      <alignment horizontal="center"/>
    </xf>
    <xf numFmtId="168" fontId="1" fillId="0" borderId="0" xfId="0" applyNumberFormat="1" applyFont="1"/>
    <xf numFmtId="11" fontId="0" fillId="4" borderId="0" xfId="0" applyNumberFormat="1" applyFill="1"/>
    <xf numFmtId="0" fontId="1" fillId="8" borderId="0" xfId="0" applyFont="1" applyFill="1"/>
    <xf numFmtId="0" fontId="0" fillId="8" borderId="0" xfId="0" applyFill="1"/>
    <xf numFmtId="0" fontId="6" fillId="5" borderId="3" xfId="0" applyFont="1" applyFill="1" applyBorder="1" applyAlignment="1">
      <alignment horizontal="center" vertical="center"/>
    </xf>
    <xf numFmtId="10" fontId="0" fillId="0" borderId="0" xfId="0" applyNumberFormat="1"/>
    <xf numFmtId="0" fontId="0" fillId="0" borderId="0" xfId="0" applyNumberFormat="1"/>
    <xf numFmtId="170" fontId="5" fillId="0" borderId="0" xfId="0" applyNumberFormat="1" applyFont="1"/>
    <xf numFmtId="49" fontId="5" fillId="0" borderId="0" xfId="0" applyNumberFormat="1" applyFont="1"/>
    <xf numFmtId="166" fontId="0" fillId="0" borderId="0" xfId="0" applyNumberForma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nstantecosmologique.fr/tensions-desi-et-jwst-resolution-par-integration-de-la-temperature-du-cmb-dans-%ce%bbcdm/" TargetMode="External"/><Relationship Id="rId1" Type="http://schemas.openxmlformats.org/officeDocument/2006/relationships/hyperlink" Target="http://fr.wikipedia.org/wiki/Vitesse_de_la_lumi%C3%A8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13"/>
  <sheetViews>
    <sheetView tabSelected="1" topLeftCell="B1" zoomScale="86" zoomScaleNormal="86" workbookViewId="0">
      <selection activeCell="G16" sqref="G16"/>
    </sheetView>
  </sheetViews>
  <sheetFormatPr baseColWidth="10" defaultColWidth="12.5703125" defaultRowHeight="15" customHeight="1" x14ac:dyDescent="0.2"/>
  <cols>
    <col min="1" max="1" width="44" customWidth="1"/>
    <col min="2" max="3" width="28.28515625" customWidth="1"/>
    <col min="4" max="4" width="16" customWidth="1"/>
    <col min="5" max="5" width="15.28515625" customWidth="1"/>
    <col min="6" max="6" width="16.7109375" customWidth="1"/>
    <col min="7" max="7" width="20.42578125" customWidth="1"/>
    <col min="8" max="8" width="15.28515625" customWidth="1"/>
    <col min="9" max="9" width="18.85546875" customWidth="1"/>
    <col min="10" max="10" width="15" customWidth="1"/>
    <col min="11" max="11" width="14" customWidth="1"/>
    <col min="12" max="12" width="16" customWidth="1"/>
    <col min="13" max="13" width="19.5703125" customWidth="1"/>
    <col min="14" max="14" width="20" customWidth="1"/>
    <col min="15" max="15" width="13" customWidth="1"/>
    <col min="16" max="16" width="13.42578125" customWidth="1"/>
    <col min="17" max="17" width="25.42578125" customWidth="1"/>
    <col min="18" max="18" width="23.28515625" customWidth="1"/>
    <col min="19" max="19" width="25.28515625" customWidth="1"/>
    <col min="20" max="20" width="14.85546875" customWidth="1"/>
    <col min="21" max="21" width="10.85546875" customWidth="1"/>
    <col min="22" max="22" width="24.42578125" customWidth="1"/>
    <col min="23" max="25" width="8" customWidth="1"/>
  </cols>
  <sheetData>
    <row r="1" spans="1:22" ht="15" customHeight="1" x14ac:dyDescent="0.2">
      <c r="K1" s="18"/>
      <c r="L1" s="18"/>
      <c r="M1" s="40" t="s">
        <v>30</v>
      </c>
      <c r="S1" s="33" t="s">
        <v>20</v>
      </c>
    </row>
    <row r="2" spans="1:22" ht="15" customHeight="1" x14ac:dyDescent="0.2">
      <c r="G2" s="11"/>
      <c r="H2" s="24" t="s">
        <v>16</v>
      </c>
      <c r="J2" s="18"/>
      <c r="K2" s="18"/>
      <c r="M2" s="45" t="s">
        <v>49</v>
      </c>
      <c r="N2" s="36" t="s">
        <v>31</v>
      </c>
      <c r="O2" s="18" t="s">
        <v>17</v>
      </c>
      <c r="P2" s="18" t="s">
        <v>39</v>
      </c>
      <c r="Q2" s="39" t="s">
        <v>40</v>
      </c>
      <c r="R2" s="36" t="s">
        <v>22</v>
      </c>
      <c r="S2" s="33" t="s">
        <v>19</v>
      </c>
    </row>
    <row r="3" spans="1:22" ht="15" customHeight="1" thickBot="1" x14ac:dyDescent="0.25">
      <c r="A3">
        <f>F9*A4</f>
        <v>342.62650000000002</v>
      </c>
      <c r="B3" s="18" t="s">
        <v>37</v>
      </c>
      <c r="C3" s="18" t="s">
        <v>14</v>
      </c>
      <c r="E3" s="11" t="s">
        <v>38</v>
      </c>
      <c r="F3" s="25" t="s">
        <v>6</v>
      </c>
      <c r="G3" s="18" t="s">
        <v>46</v>
      </c>
      <c r="H3" s="11"/>
      <c r="I3" s="18" t="s">
        <v>36</v>
      </c>
      <c r="J3" s="26" t="s">
        <v>42</v>
      </c>
      <c r="K3" s="18" t="s">
        <v>56</v>
      </c>
      <c r="L3" s="18" t="s">
        <v>57</v>
      </c>
      <c r="M3" s="39" t="s">
        <v>15</v>
      </c>
      <c r="N3" s="36" t="s">
        <v>55</v>
      </c>
      <c r="P3" s="18" t="s">
        <v>18</v>
      </c>
      <c r="Q3" s="39" t="s">
        <v>41</v>
      </c>
      <c r="R3" s="36" t="s">
        <v>21</v>
      </c>
      <c r="S3" s="33" t="s">
        <v>32</v>
      </c>
      <c r="T3" s="18" t="s">
        <v>6</v>
      </c>
      <c r="U3" s="11" t="s">
        <v>4</v>
      </c>
    </row>
    <row r="4" spans="1:22" ht="15" customHeight="1" thickBot="1" x14ac:dyDescent="0.25">
      <c r="A4" s="22">
        <v>147.05000000000001</v>
      </c>
      <c r="B4" s="12">
        <f>147.05*B20</f>
        <v>4.5374888875178683E+24</v>
      </c>
      <c r="C4" s="21">
        <f t="shared" ref="C4:C11" si="0">B$17/(A$5)</f>
        <v>6.6070125003434389E-17</v>
      </c>
      <c r="E4" t="s">
        <v>5</v>
      </c>
      <c r="F4">
        <v>0.51</v>
      </c>
      <c r="G4" s="23">
        <v>12.72</v>
      </c>
      <c r="H4" s="30">
        <f t="shared" ref="H4:H11" si="1">(1+F4)^2*D$15</f>
        <v>4.9397637092406133E-18</v>
      </c>
      <c r="I4" s="27">
        <v>21.863</v>
      </c>
      <c r="J4" s="21">
        <f>G$13*(1+F4)^2</f>
        <v>3.5722208802031671E-52</v>
      </c>
      <c r="K4" s="23">
        <f>J4/G$13</f>
        <v>2.2801</v>
      </c>
      <c r="L4" s="29">
        <f>K4^0.5</f>
        <v>1.51</v>
      </c>
      <c r="M4" s="34">
        <f t="shared" ref="M4:M11" si="2">I4*A$4*B$20/B$17</f>
        <v>3.3090598812797069E+17</v>
      </c>
      <c r="N4" s="37">
        <f>1/M4</f>
        <v>3.022006357930494E-18</v>
      </c>
      <c r="O4">
        <f t="shared" ref="O4:O11" si="3">D$15*(1+F4)</f>
        <v>3.2713666948613331E-18</v>
      </c>
      <c r="P4" s="29">
        <f>N4/O4</f>
        <v>0.92377487448211337</v>
      </c>
      <c r="Q4" s="51">
        <f>P4^2 -1</f>
        <v>-0.14663998127555566</v>
      </c>
      <c r="R4" s="38">
        <f>O4*(1+Q4)^0.5</f>
        <v>3.022006357930494E-18</v>
      </c>
      <c r="S4" s="47">
        <f t="shared" ref="S4" si="4">R4-N4</f>
        <v>0</v>
      </c>
      <c r="T4" s="26">
        <v>0.51</v>
      </c>
      <c r="U4" t="s">
        <v>5</v>
      </c>
      <c r="V4" s="21"/>
    </row>
    <row r="5" spans="1:22" ht="15" customHeight="1" thickBot="1" x14ac:dyDescent="0.25">
      <c r="A5" s="12">
        <f>A4*B20</f>
        <v>4.5374888875178683E+24</v>
      </c>
      <c r="B5">
        <v>4.5374888875178683E+24</v>
      </c>
      <c r="C5" s="35">
        <f t="shared" si="0"/>
        <v>6.6070125003434389E-17</v>
      </c>
      <c r="E5" s="11" t="s">
        <v>7</v>
      </c>
      <c r="F5" s="11">
        <v>0.70599999999999996</v>
      </c>
      <c r="G5" s="23">
        <v>16.05</v>
      </c>
      <c r="H5" s="30">
        <f t="shared" si="1"/>
        <v>6.3053664886923435E-18</v>
      </c>
      <c r="I5" s="28">
        <v>19.454999999999998</v>
      </c>
      <c r="J5" s="21">
        <f t="shared" ref="J5:J11" si="5">G$13*(1+F5)^2</f>
        <v>4.5597650321016549E-52</v>
      </c>
      <c r="K5" s="23">
        <f t="shared" ref="K5:K11" si="6">J5/G$13</f>
        <v>2.9104359999999998</v>
      </c>
      <c r="L5" s="29">
        <f t="shared" ref="L5:L11" si="7">K5^0.5</f>
        <v>1.706</v>
      </c>
      <c r="M5" s="34">
        <f t="shared" si="2"/>
        <v>2.9445986365227411E+17</v>
      </c>
      <c r="N5" s="37">
        <f t="shared" ref="N5:N11" si="8">1/M5</f>
        <v>3.3960485738079877E-18</v>
      </c>
      <c r="O5">
        <f t="shared" si="3"/>
        <v>3.6959944247903539E-18</v>
      </c>
      <c r="P5" s="29">
        <f t="shared" ref="P5:P11" si="9">N5/O5</f>
        <v>0.91884569712266817</v>
      </c>
      <c r="Q5" s="51">
        <f t="shared" ref="Q5:Q11" si="10">P5^2 -1</f>
        <v>-0.15572258487915791</v>
      </c>
      <c r="R5" s="38">
        <f t="shared" ref="R5:R11" si="11">O5*(1+Q5)^0.5</f>
        <v>3.3960485738079877E-18</v>
      </c>
      <c r="S5" s="47">
        <f>R5-N5</f>
        <v>0</v>
      </c>
      <c r="T5" s="18">
        <v>0.70599999999999996</v>
      </c>
      <c r="U5" s="11" t="s">
        <v>7</v>
      </c>
    </row>
    <row r="6" spans="1:22" ht="15" customHeight="1" thickBot="1" x14ac:dyDescent="0.25">
      <c r="B6">
        <v>4.5374888875178683E+24</v>
      </c>
      <c r="C6" s="21">
        <f t="shared" si="0"/>
        <v>6.6070125003434389E-17</v>
      </c>
      <c r="E6" t="s">
        <v>8</v>
      </c>
      <c r="F6">
        <v>0.93400000000000005</v>
      </c>
      <c r="G6" s="23">
        <v>19.721</v>
      </c>
      <c r="H6" s="16">
        <f t="shared" si="1"/>
        <v>8.1033616194203699E-18</v>
      </c>
      <c r="I6" s="28">
        <v>17.640999999999998</v>
      </c>
      <c r="J6" s="21">
        <f t="shared" si="5"/>
        <v>5.8599964048038238E-52</v>
      </c>
      <c r="K6" s="23">
        <f t="shared" si="6"/>
        <v>3.7403560000000007</v>
      </c>
      <c r="L6" s="29">
        <f t="shared" si="7"/>
        <v>1.9340000000000002</v>
      </c>
      <c r="M6" s="34">
        <f t="shared" si="2"/>
        <v>2.6700418682548285E+17</v>
      </c>
      <c r="N6" s="37">
        <f t="shared" si="8"/>
        <v>3.7452596226650637E-18</v>
      </c>
      <c r="O6">
        <f t="shared" si="3"/>
        <v>4.1899491310343172E-18</v>
      </c>
      <c r="P6" s="29">
        <f t="shared" si="9"/>
        <v>0.89386756391014255</v>
      </c>
      <c r="Q6" s="51">
        <f t="shared" si="10"/>
        <v>-0.20100077818934725</v>
      </c>
      <c r="R6" s="38">
        <f t="shared" si="11"/>
        <v>3.7452596226650637E-18</v>
      </c>
      <c r="S6" s="47">
        <f t="shared" ref="S6:S11" si="12">R6-N6</f>
        <v>0</v>
      </c>
      <c r="T6" s="26">
        <v>0.93400000000000005</v>
      </c>
      <c r="U6" t="s">
        <v>8</v>
      </c>
    </row>
    <row r="7" spans="1:22" ht="15" customHeight="1" thickBot="1" x14ac:dyDescent="0.25">
      <c r="A7" s="12"/>
      <c r="B7">
        <v>4.5374888875178683E+24</v>
      </c>
      <c r="C7" s="21">
        <f t="shared" si="0"/>
        <v>6.6070125003434389E-17</v>
      </c>
      <c r="E7" t="s">
        <v>9</v>
      </c>
      <c r="F7" s="11">
        <v>1.321</v>
      </c>
      <c r="G7" s="11">
        <v>24.251999999999999</v>
      </c>
      <c r="H7" s="16">
        <f t="shared" si="1"/>
        <v>1.1670851994206946E-17</v>
      </c>
      <c r="I7" s="28">
        <v>14.176</v>
      </c>
      <c r="J7" s="21">
        <f t="shared" si="5"/>
        <v>8.439849279729198E-52</v>
      </c>
      <c r="K7" s="23">
        <f t="shared" si="6"/>
        <v>5.3870409999999991</v>
      </c>
      <c r="L7" s="29">
        <f t="shared" si="7"/>
        <v>2.3209999999999997</v>
      </c>
      <c r="M7" s="34">
        <f t="shared" si="2"/>
        <v>2.1455990887353578E+17</v>
      </c>
      <c r="N7" s="37">
        <f t="shared" si="8"/>
        <v>4.6607029488878656E-18</v>
      </c>
      <c r="O7">
        <f t="shared" si="3"/>
        <v>5.0283722508431477E-18</v>
      </c>
      <c r="P7" s="29">
        <f t="shared" si="9"/>
        <v>0.92688104945022076</v>
      </c>
      <c r="Q7" s="51">
        <f t="shared" si="10"/>
        <v>-0.14089152017005746</v>
      </c>
      <c r="R7" s="38">
        <f t="shared" si="11"/>
        <v>4.6607029488878656E-18</v>
      </c>
      <c r="S7" s="47">
        <f t="shared" si="12"/>
        <v>0</v>
      </c>
      <c r="T7" s="18">
        <v>1.321</v>
      </c>
      <c r="U7" t="s">
        <v>9</v>
      </c>
    </row>
    <row r="8" spans="1:22" ht="15" customHeight="1" thickBot="1" x14ac:dyDescent="0.25">
      <c r="B8">
        <v>4.5374888875178683E+24</v>
      </c>
      <c r="C8" s="21">
        <f t="shared" si="0"/>
        <v>6.6070125003434389E-17</v>
      </c>
      <c r="E8" t="s">
        <v>10</v>
      </c>
      <c r="F8" s="11">
        <v>1.484</v>
      </c>
      <c r="G8" s="11">
        <v>26.055</v>
      </c>
      <c r="H8" s="16">
        <f t="shared" si="1"/>
        <v>1.3367662236535305E-17</v>
      </c>
      <c r="I8" s="28">
        <v>12.817</v>
      </c>
      <c r="J8" s="21">
        <f t="shared" si="5"/>
        <v>9.6669081704306273E-52</v>
      </c>
      <c r="K8" s="23">
        <f t="shared" si="6"/>
        <v>6.1702560000000002</v>
      </c>
      <c r="L8" s="29">
        <f>K8^0.5</f>
        <v>2.484</v>
      </c>
      <c r="M8" s="34">
        <f t="shared" si="2"/>
        <v>1.9399085440407082E+17</v>
      </c>
      <c r="N8" s="37">
        <f t="shared" si="8"/>
        <v>5.1548821879873908E-18</v>
      </c>
      <c r="O8">
        <f t="shared" si="3"/>
        <v>5.3815065364473854E-18</v>
      </c>
      <c r="P8" s="29">
        <f t="shared" si="9"/>
        <v>0.95788830749807075</v>
      </c>
      <c r="Q8" s="51">
        <f>P8^2 -1</f>
        <v>-8.244999035848144E-2</v>
      </c>
      <c r="R8" s="38">
        <f t="shared" si="11"/>
        <v>5.1548821879873908E-18</v>
      </c>
      <c r="S8" s="47">
        <f t="shared" si="12"/>
        <v>0</v>
      </c>
      <c r="T8" s="18">
        <v>1.484</v>
      </c>
      <c r="U8" t="s">
        <v>10</v>
      </c>
    </row>
    <row r="9" spans="1:22" ht="15" customHeight="1" thickBot="1" x14ac:dyDescent="0.25">
      <c r="B9">
        <v>4.5374888875178683E+24</v>
      </c>
      <c r="C9" s="21">
        <f t="shared" si="0"/>
        <v>6.6070125003434389E-17</v>
      </c>
      <c r="E9" t="s">
        <v>11</v>
      </c>
      <c r="F9" s="11">
        <v>2.33</v>
      </c>
      <c r="G9" s="11">
        <v>31.266999999999999</v>
      </c>
      <c r="H9" s="16">
        <f>(1+F9)^2*D$15</f>
        <v>2.4023747114336316E-17</v>
      </c>
      <c r="I9" s="50">
        <v>8.6319999999999997</v>
      </c>
      <c r="J9" s="21">
        <f t="shared" si="5"/>
        <v>1.7372922292217402E-51</v>
      </c>
      <c r="K9" s="23">
        <f>J9/G$13</f>
        <v>11.088900000000001</v>
      </c>
      <c r="L9" s="29">
        <f>K9^0.5</f>
        <v>3.33</v>
      </c>
      <c r="M9" s="34">
        <f t="shared" si="2"/>
        <v>1.3064906415042048E+17</v>
      </c>
      <c r="N9" s="37">
        <f t="shared" si="8"/>
        <v>7.6540923312597771E-18</v>
      </c>
      <c r="O9">
        <f t="shared" si="3"/>
        <v>7.2143384727736683E-18</v>
      </c>
      <c r="P9" s="29">
        <f t="shared" ref="P9" si="13">N9/O9</f>
        <v>1.0609555346128692</v>
      </c>
      <c r="Q9" s="51">
        <f>P9^2 -1</f>
        <v>0.125626646425679</v>
      </c>
      <c r="R9" s="38">
        <f t="shared" si="11"/>
        <v>7.6540923312597771E-18</v>
      </c>
      <c r="S9" s="47">
        <f t="shared" si="12"/>
        <v>0</v>
      </c>
      <c r="T9" s="18">
        <v>2.33</v>
      </c>
      <c r="U9" t="s">
        <v>11</v>
      </c>
    </row>
    <row r="10" spans="1:22" ht="15" customHeight="1" thickBot="1" x14ac:dyDescent="0.25">
      <c r="B10">
        <v>4.5374888875178683E+24</v>
      </c>
      <c r="C10" s="21">
        <f t="shared" si="0"/>
        <v>6.6070125003434389E-17</v>
      </c>
      <c r="E10" t="s">
        <v>12</v>
      </c>
      <c r="F10" s="11">
        <v>0.92200000000000004</v>
      </c>
      <c r="G10" s="11">
        <v>19.655999999999999</v>
      </c>
      <c r="H10" s="16">
        <f>(1+F10)^2*D$15</f>
        <v>8.0031148116689643E-18</v>
      </c>
      <c r="I10" s="28">
        <v>17.577000000000002</v>
      </c>
      <c r="J10" s="21">
        <f t="shared" si="5"/>
        <v>5.7875023016641545E-52</v>
      </c>
      <c r="K10" s="23">
        <f t="shared" si="6"/>
        <v>3.6940840000000006</v>
      </c>
      <c r="L10" s="29">
        <f t="shared" si="7"/>
        <v>1.9220000000000002</v>
      </c>
      <c r="M10" s="34">
        <f t="shared" si="2"/>
        <v>2.6603551906533142E+17</v>
      </c>
      <c r="N10" s="37">
        <f t="shared" si="8"/>
        <v>3.7588965695758311E-18</v>
      </c>
      <c r="O10">
        <f t="shared" si="3"/>
        <v>4.1639515149162135E-18</v>
      </c>
      <c r="P10" s="29">
        <f t="shared" si="9"/>
        <v>0.90272342415866658</v>
      </c>
      <c r="Q10" s="51">
        <f t="shared" si="10"/>
        <v>-0.18509041947525218</v>
      </c>
      <c r="R10" s="38">
        <f t="shared" si="11"/>
        <v>3.7588965695758311E-18</v>
      </c>
      <c r="S10" s="47">
        <f t="shared" si="12"/>
        <v>0</v>
      </c>
      <c r="T10" s="18">
        <v>0.92200000000000004</v>
      </c>
      <c r="U10" t="s">
        <v>12</v>
      </c>
      <c r="V10" s="21">
        <f>G17/K9</f>
        <v>0</v>
      </c>
    </row>
    <row r="11" spans="1:22" ht="15" customHeight="1" thickBot="1" x14ac:dyDescent="0.25">
      <c r="B11">
        <v>4.5374888875178683E+24</v>
      </c>
      <c r="C11" s="21">
        <f t="shared" si="0"/>
        <v>6.6070125003434389E-17</v>
      </c>
      <c r="E11" t="s">
        <v>13</v>
      </c>
      <c r="F11" s="11">
        <v>0.95499999999999996</v>
      </c>
      <c r="G11" s="11">
        <v>20.007999999999999</v>
      </c>
      <c r="H11" s="16">
        <f t="shared" si="1"/>
        <v>8.2802948953161517E-18</v>
      </c>
      <c r="I11" s="28">
        <v>17.803000000000001</v>
      </c>
      <c r="J11" s="21">
        <f t="shared" si="5"/>
        <v>5.987946804814925E-52</v>
      </c>
      <c r="K11" s="23">
        <f t="shared" si="6"/>
        <v>3.8220250000000004</v>
      </c>
      <c r="L11" s="29">
        <f t="shared" si="7"/>
        <v>1.9550000000000001</v>
      </c>
      <c r="M11" s="34">
        <f t="shared" si="2"/>
        <v>2.6945612709336608E+17</v>
      </c>
      <c r="N11" s="37">
        <f t="shared" si="8"/>
        <v>3.7111792958172437E-18</v>
      </c>
      <c r="O11">
        <f t="shared" si="3"/>
        <v>4.2354449592409978E-18</v>
      </c>
      <c r="P11" s="29">
        <f t="shared" si="9"/>
        <v>0.8762194601821236</v>
      </c>
      <c r="Q11" s="51">
        <f t="shared" si="10"/>
        <v>-0.2322394575981479</v>
      </c>
      <c r="R11" s="38">
        <f t="shared" si="11"/>
        <v>3.7111792958172437E-18</v>
      </c>
      <c r="S11" s="47">
        <f t="shared" si="12"/>
        <v>0</v>
      </c>
      <c r="T11" s="18">
        <v>0.95499999999999996</v>
      </c>
      <c r="U11" t="s">
        <v>13</v>
      </c>
      <c r="V11" s="21" t="e">
        <f>V10/G17</f>
        <v>#DIV/0!</v>
      </c>
    </row>
    <row r="12" spans="1:22" ht="15" customHeight="1" x14ac:dyDescent="0.2">
      <c r="D12" s="12"/>
      <c r="G12" s="11"/>
      <c r="J12" s="20"/>
      <c r="K12" s="13"/>
      <c r="L12" s="29"/>
      <c r="P12" s="29"/>
      <c r="Q12" s="18"/>
      <c r="V12" s="21">
        <f>G17/V14</f>
        <v>0</v>
      </c>
    </row>
    <row r="13" spans="1:22" ht="15" customHeight="1" x14ac:dyDescent="0.2">
      <c r="A13" s="11" t="s">
        <v>48</v>
      </c>
      <c r="B13" s="2">
        <v>1.4167841621573426E+32</v>
      </c>
      <c r="C13" s="11" t="s">
        <v>25</v>
      </c>
      <c r="F13" s="25" t="s">
        <v>29</v>
      </c>
      <c r="G13" s="42">
        <f>3/(D14*B17)^2</f>
        <v>1.5666948292632634E-52</v>
      </c>
      <c r="H13" s="16"/>
      <c r="J13" s="21"/>
      <c r="O13" s="18"/>
      <c r="Q13" s="12"/>
      <c r="V13" s="21">
        <f>G17/V14</f>
        <v>0</v>
      </c>
    </row>
    <row r="14" spans="1:22" ht="14.25" customHeight="1" x14ac:dyDescent="0.2">
      <c r="A14" s="1" t="s">
        <v>23</v>
      </c>
      <c r="D14">
        <f>1/D15</f>
        <v>4.6158078284892666E+17</v>
      </c>
      <c r="E14" s="11" t="s">
        <v>27</v>
      </c>
      <c r="H14" s="16"/>
      <c r="I14" s="41"/>
      <c r="J14" s="21"/>
      <c r="K14" s="21"/>
      <c r="L14" s="18"/>
      <c r="M14" s="18"/>
      <c r="V14" s="12">
        <f>D15^2*3/8/PI()/B19</f>
        <v>8.3942177840767845E-27</v>
      </c>
    </row>
    <row r="15" spans="1:22" ht="14.25" customHeight="1" x14ac:dyDescent="0.2">
      <c r="A15" s="48" t="s">
        <v>33</v>
      </c>
      <c r="B15" s="19">
        <f>D15/1000*B20</f>
        <v>66.850217747846074</v>
      </c>
      <c r="C15" s="3" t="s">
        <v>34</v>
      </c>
      <c r="D15" s="49">
        <f>B17/2/B18*(8*PI()*B16/B13)^2</f>
        <v>2.1664680098419425E-18</v>
      </c>
      <c r="E15" s="17" t="s">
        <v>24</v>
      </c>
      <c r="F15" s="16"/>
      <c r="G15" s="21">
        <f>G16-G17</f>
        <v>7.544346704883703E-10</v>
      </c>
      <c r="H15" s="35"/>
      <c r="I15" s="54"/>
      <c r="J15" s="21"/>
      <c r="K15" s="21"/>
      <c r="L15" s="21"/>
      <c r="M15" s="14"/>
      <c r="N15" s="21"/>
      <c r="O15" s="21"/>
      <c r="P15" s="55"/>
      <c r="Q15" s="21"/>
    </row>
    <row r="16" spans="1:22" ht="14.25" customHeight="1" x14ac:dyDescent="0.2">
      <c r="A16" s="1" t="s">
        <v>28</v>
      </c>
      <c r="B16" s="5">
        <v>2.72458</v>
      </c>
      <c r="C16" s="6" t="s">
        <v>25</v>
      </c>
      <c r="D16">
        <f>67.27/B20*1000</f>
        <v>2.1800722261187126E-18</v>
      </c>
      <c r="G16" s="21">
        <f>3*D15^2*B17^2/8/PI()/B19</f>
        <v>7.544346704883703E-10</v>
      </c>
      <c r="H16" s="21"/>
      <c r="I16" s="21"/>
      <c r="J16" s="54"/>
      <c r="K16" s="21"/>
      <c r="L16" s="21"/>
      <c r="M16" s="16"/>
      <c r="N16" s="16"/>
      <c r="O16" s="16"/>
      <c r="P16" s="55"/>
    </row>
    <row r="17" spans="1:19" ht="14.25" customHeight="1" x14ac:dyDescent="0.25">
      <c r="A17" s="9" t="s">
        <v>0</v>
      </c>
      <c r="B17" s="1">
        <f>299792458</f>
        <v>299792458</v>
      </c>
      <c r="C17" s="8" t="s">
        <v>3</v>
      </c>
      <c r="E17" s="12"/>
      <c r="G17" s="21"/>
      <c r="H17" s="16"/>
      <c r="J17" s="21"/>
      <c r="M17" s="21"/>
      <c r="N17" s="21"/>
      <c r="P17" s="55"/>
    </row>
    <row r="18" spans="1:19" ht="14.25" customHeight="1" x14ac:dyDescent="0.2">
      <c r="A18" s="1" t="s">
        <v>2</v>
      </c>
      <c r="B18" s="1">
        <v>1.6162550244237055E-35</v>
      </c>
      <c r="C18" s="7" t="s">
        <v>26</v>
      </c>
      <c r="D18" s="46">
        <f>3/4/B18^2*(B16*8*PI()/B13)^4</f>
        <v>1.5666948292632631E-52</v>
      </c>
      <c r="E18" s="17" t="s">
        <v>35</v>
      </c>
      <c r="F18" s="11" t="s">
        <v>47</v>
      </c>
      <c r="G18" s="6"/>
      <c r="H18" s="53"/>
      <c r="I18" s="54"/>
      <c r="J18" s="35"/>
      <c r="P18" s="55"/>
    </row>
    <row r="19" spans="1:19" ht="14.25" customHeight="1" x14ac:dyDescent="0.25">
      <c r="A19" s="11" t="s">
        <v>45</v>
      </c>
      <c r="B19" s="7">
        <v>6.6742999999999994E-11</v>
      </c>
      <c r="C19" s="7"/>
      <c r="E19" s="15"/>
      <c r="G19" s="16"/>
      <c r="H19" s="52"/>
      <c r="I19" s="21"/>
      <c r="J19" s="21"/>
      <c r="P19" s="55"/>
    </row>
    <row r="20" spans="1:19" ht="15" customHeight="1" x14ac:dyDescent="0.2">
      <c r="A20" t="s">
        <v>1</v>
      </c>
      <c r="B20">
        <v>3.0856775841672002E+22</v>
      </c>
      <c r="C20" s="10" t="s">
        <v>26</v>
      </c>
      <c r="E20" s="12"/>
      <c r="F20" s="6"/>
      <c r="G20" s="4"/>
      <c r="H20" s="16"/>
      <c r="I20" s="21"/>
      <c r="J20" s="11"/>
      <c r="P20" s="55"/>
      <c r="S20" s="11"/>
    </row>
    <row r="21" spans="1:19" ht="14.25" customHeight="1" x14ac:dyDescent="0.2">
      <c r="G21" s="13"/>
      <c r="J21" s="21"/>
      <c r="P21" s="55"/>
    </row>
    <row r="22" spans="1:19" ht="14.25" customHeight="1" x14ac:dyDescent="0.2">
      <c r="A22" s="44" t="s">
        <v>43</v>
      </c>
      <c r="B22" s="43" t="s">
        <v>44</v>
      </c>
      <c r="I22" s="13"/>
      <c r="P22" s="55"/>
    </row>
    <row r="23" spans="1:19" ht="14.25" customHeight="1" x14ac:dyDescent="0.2"/>
    <row r="24" spans="1:19" ht="14.25" customHeight="1" x14ac:dyDescent="0.2">
      <c r="I24" s="21"/>
    </row>
    <row r="25" spans="1:19" ht="24.75" customHeight="1" x14ac:dyDescent="0.2"/>
    <row r="26" spans="1:19" ht="14.25" customHeight="1" x14ac:dyDescent="0.2">
      <c r="A26" s="11" t="s">
        <v>50</v>
      </c>
      <c r="B26">
        <v>3000</v>
      </c>
      <c r="C26" s="11" t="s">
        <v>54</v>
      </c>
    </row>
    <row r="27" spans="1:19" ht="14.25" customHeight="1" x14ac:dyDescent="0.2">
      <c r="A27" s="11" t="s">
        <v>51</v>
      </c>
      <c r="B27">
        <v>2.6266104114435079E-12</v>
      </c>
      <c r="C27" t="s">
        <v>24</v>
      </c>
    </row>
    <row r="28" spans="1:19" ht="14.25" customHeight="1" x14ac:dyDescent="0.2"/>
    <row r="29" spans="1:19" ht="14.25" customHeight="1" x14ac:dyDescent="0.2">
      <c r="A29" s="11" t="s">
        <v>52</v>
      </c>
      <c r="B29">
        <f>B27/D15</f>
        <v>1212392.8899532359</v>
      </c>
    </row>
    <row r="30" spans="1:19" ht="14.25" customHeight="1" x14ac:dyDescent="0.2">
      <c r="A30" s="11" t="s">
        <v>53</v>
      </c>
      <c r="B30">
        <f>B29^0.5-1</f>
        <v>1100.0871400362626</v>
      </c>
    </row>
    <row r="31" spans="1:19" ht="26.25" customHeight="1" x14ac:dyDescent="0.2"/>
    <row r="32" spans="1:1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24.7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spans="10:11" ht="14.25" customHeight="1" x14ac:dyDescent="0.2"/>
    <row r="50" spans="10:11" ht="14.25" customHeight="1" x14ac:dyDescent="0.2"/>
    <row r="51" spans="10:11" ht="14.25" customHeight="1" x14ac:dyDescent="0.2"/>
    <row r="52" spans="10:11" ht="14.25" customHeight="1" x14ac:dyDescent="0.2"/>
    <row r="53" spans="10:11" ht="14.25" customHeight="1" x14ac:dyDescent="0.2"/>
    <row r="54" spans="10:11" ht="14.25" customHeight="1" x14ac:dyDescent="0.2"/>
    <row r="55" spans="10:11" ht="14.25" customHeight="1" x14ac:dyDescent="0.2"/>
    <row r="56" spans="10:11" ht="14.25" customHeight="1" x14ac:dyDescent="0.2"/>
    <row r="57" spans="10:11" ht="14.25" customHeight="1" x14ac:dyDescent="0.2"/>
    <row r="58" spans="10:11" ht="14.25" customHeight="1" x14ac:dyDescent="0.2"/>
    <row r="59" spans="10:11" ht="14.25" customHeight="1" x14ac:dyDescent="0.2">
      <c r="J59" s="31"/>
      <c r="K59" s="32"/>
    </row>
    <row r="60" spans="10:11" ht="14.25" customHeight="1" x14ac:dyDescent="0.2"/>
    <row r="61" spans="10:11" ht="14.25" customHeight="1" x14ac:dyDescent="0.2"/>
    <row r="62" spans="10:11" ht="14.25" customHeight="1" x14ac:dyDescent="0.2"/>
    <row r="63" spans="10:11" ht="14.25" customHeight="1" x14ac:dyDescent="0.2"/>
    <row r="64" spans="10:11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</sheetData>
  <sortState xmlns:xlrd2="http://schemas.microsoft.com/office/spreadsheetml/2017/richdata2" ref="H19:I19">
    <sortCondition descending="1" ref="I18:I19"/>
  </sortState>
  <hyperlinks>
    <hyperlink ref="A17" r:id="rId1" xr:uid="{00000000-0004-0000-0000-000004000000}"/>
    <hyperlink ref="B22" r:id="rId2" xr:uid="{9B787B8B-F57B-4057-B0C3-06969D78AC3C}"/>
  </hyperlinks>
  <pageMargins left="0.7" right="0.7" top="0.75" bottom="0.75" header="0" footer="0"/>
  <pageSetup orientation="landscape" r:id="rId3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wojnow</dc:creator>
  <cp:lastModifiedBy>stéphane wojnow</cp:lastModifiedBy>
  <dcterms:created xsi:type="dcterms:W3CDTF">2023-10-22T20:52:25Z</dcterms:created>
  <dcterms:modified xsi:type="dcterms:W3CDTF">2026-04-10T10:48:08Z</dcterms:modified>
</cp:coreProperties>
</file>